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1740" windowWidth="1980" windowHeight="9816" activeTab="0"/>
  </bookViews>
  <sheets>
    <sheet name="Fuel Calc" sheetId="1" r:id="rId1"/>
    <sheet name="Power Calc" sheetId="2" r:id="rId2"/>
  </sheets>
  <definedNames>
    <definedName name="_xlnm.Print_Area" localSheetId="0">'Fuel Calc'!$M$6:$R$15</definedName>
  </definedNames>
  <calcPr calcMode="autoNoTable" fullCalcOnLoad="1" iterate="1" iterateCount="1" iterateDelta="0"/>
</workbook>
</file>

<file path=xl/comments1.xml><?xml version="1.0" encoding="utf-8"?>
<comments xmlns="http://schemas.openxmlformats.org/spreadsheetml/2006/main">
  <authors>
    <author>USDA Forest Service</author>
  </authors>
  <commentList>
    <comment ref="J33" authorId="0">
      <text>
        <r>
          <rPr>
            <sz val="9"/>
            <rFont val="Calibri"/>
            <family val="2"/>
          </rPr>
          <t>This is overall.  It factors in water and other losses and assumes a stack temperature of 350°F (HHV).</t>
        </r>
      </text>
    </comment>
    <comment ref="F33" authorId="0">
      <text>
        <r>
          <rPr>
            <sz val="9"/>
            <rFont val="Calibri"/>
            <family val="2"/>
          </rPr>
          <t xml:space="preserve">Dry wood contains about 8,600 Btu per pound.
A Btu is the energy it takes to heat 1 pound of water 1°F. </t>
        </r>
        <r>
          <rPr>
            <b/>
            <sz val="9"/>
            <rFont val="Calibri"/>
            <family val="2"/>
          </rPr>
          <t xml:space="preserve"> </t>
        </r>
        <r>
          <rPr>
            <sz val="9"/>
            <rFont val="Calibri"/>
            <family val="2"/>
          </rPr>
          <t xml:space="preserve">
It takes 970 Btu to boil away 1 pound of water. 
It takes 0.485 Btu to raise 1 pound of steam 1°F.</t>
        </r>
      </text>
    </comment>
    <comment ref="I33" authorId="0">
      <text>
        <r>
          <rPr>
            <sz val="9"/>
            <rFont val="Calibri"/>
            <family val="2"/>
          </rPr>
          <t>The cost of wood varies greatly in the United States.  
A future version might permit entering a ZIP code for better cost estimates.</t>
        </r>
      </text>
    </comment>
    <comment ref="F47" authorId="0">
      <text>
        <r>
          <rPr>
            <sz val="9"/>
            <rFont val="Calibri"/>
            <family val="2"/>
          </rPr>
          <t>Heat pumps move heat instead of making it so can be 2-4 times more efficient than radiant heat.Obtain this number by dividing the rated efficiency by 3.4.</t>
        </r>
      </text>
    </comment>
    <comment ref="M122" authorId="0">
      <text>
        <r>
          <rPr>
            <b/>
            <sz val="9"/>
            <rFont val="Tahoma"/>
            <family val="2"/>
          </rPr>
          <t>USDA Forest Service:</t>
        </r>
        <r>
          <rPr>
            <sz val="9"/>
            <rFont val="Tahoma"/>
            <family val="2"/>
          </rPr>
          <t xml:space="preserve">
Need to make 7% or change btu. Just don't use on chart</t>
        </r>
      </text>
    </comment>
    <comment ref="M124" authorId="0">
      <text>
        <r>
          <rPr>
            <b/>
            <sz val="9"/>
            <rFont val="Tahoma"/>
            <family val="2"/>
          </rPr>
          <t>USDA Forest Service:</t>
        </r>
        <r>
          <rPr>
            <sz val="9"/>
            <rFont val="Tahoma"/>
            <family val="2"/>
          </rPr>
          <t xml:space="preserve">
Need to make 8% or change btu. Just don't use on chart</t>
        </r>
      </text>
    </comment>
  </commentList>
</comments>
</file>

<file path=xl/comments2.xml><?xml version="1.0" encoding="utf-8"?>
<comments xmlns="http://schemas.openxmlformats.org/spreadsheetml/2006/main">
  <authors>
    <author>USDA Forest Service</author>
  </authors>
  <commentList>
    <comment ref="E14" authorId="0">
      <text>
        <r>
          <rPr>
            <b/>
            <sz val="11"/>
            <rFont val="Cambria"/>
            <family val="1"/>
          </rPr>
          <t>Efficiencies vary greatly depending on many factors.  An industrial boiler/turbine/generator might be 25-30% efficient.  
Using a cooling tower is an expense and economically reduces your overall efficiency.  If you have a use for waste heat it increases overall efficiency but the value in this cell is just for the electrical portion.  
Using Organic Rankine cycle (ORC) engines (like a steam turbine but the working fluid boils at a lower temperature than water), or a Stirling engine arguably have efficiencies ranging from 10 to 25%.  
Gasification of biomass and burning the gas in an internal combustion (IC) engine has an efficiency ranging from 18-24%.  
The waste heat from one system might be able to be used in another.   For example the hot exhaust from an IC engine could be used in an ORC engine (this is called combined cycle) for a total electrical efficiency greater than 30%.</t>
        </r>
        <r>
          <rPr>
            <sz val="9"/>
            <rFont val="Tahoma"/>
            <family val="2"/>
          </rPr>
          <t xml:space="preserve">
</t>
        </r>
      </text>
    </comment>
    <comment ref="E37" authorId="0">
      <text>
        <r>
          <rPr>
            <b/>
            <sz val="11"/>
            <rFont val="Candara"/>
            <family val="2"/>
          </rPr>
          <t>This % and the one in line 29 cannot add up to more than 100% if you are heating AND cooling.</t>
        </r>
        <r>
          <rPr>
            <sz val="9"/>
            <rFont val="Tahoma"/>
            <family val="2"/>
          </rPr>
          <t xml:space="preserve">
</t>
        </r>
      </text>
    </comment>
    <comment ref="D94" authorId="0">
      <text>
        <r>
          <rPr>
            <b/>
            <sz val="11"/>
            <rFont val="Cambria"/>
            <family val="1"/>
          </rPr>
          <t>Many values in sheet will change</t>
        </r>
        <r>
          <rPr>
            <sz val="9"/>
            <rFont val="Tahoma"/>
            <family val="2"/>
          </rPr>
          <t xml:space="preserve">
</t>
        </r>
      </text>
    </comment>
    <comment ref="H95" authorId="0">
      <text>
        <r>
          <rPr>
            <b/>
            <sz val="11"/>
            <rFont val="Cambria"/>
            <family val="1"/>
          </rPr>
          <t>Only values below will change</t>
        </r>
        <r>
          <rPr>
            <sz val="11"/>
            <rFont val="Cambria"/>
            <family val="1"/>
          </rPr>
          <t xml:space="preserve">
</t>
        </r>
      </text>
    </comment>
  </commentList>
</comments>
</file>

<file path=xl/sharedStrings.xml><?xml version="1.0" encoding="utf-8"?>
<sst xmlns="http://schemas.openxmlformats.org/spreadsheetml/2006/main" count="229" uniqueCount="162">
  <si>
    <t>btu</t>
  </si>
  <si>
    <t>/ton</t>
  </si>
  <si>
    <t>/therm</t>
  </si>
  <si>
    <t>/kWh</t>
  </si>
  <si>
    <t>/bu</t>
  </si>
  <si>
    <t>/gal</t>
  </si>
  <si>
    <t>http://www.fpl.fs.fed.us/documnts/techline/fuel-value-calculator.pdf</t>
  </si>
  <si>
    <t>/cord</t>
  </si>
  <si>
    <t>FUEL VALUE CALCULATOR</t>
  </si>
  <si>
    <t>Alternative fuel sources:</t>
  </si>
  <si>
    <t>value:</t>
  </si>
  <si>
    <t xml:space="preserve">Natural gas </t>
  </si>
  <si>
    <t>Propane</t>
  </si>
  <si>
    <t>Burning</t>
  </si>
  <si>
    <t>F</t>
  </si>
  <si>
    <t>BTU/lb.</t>
  </si>
  <si>
    <t>Wood T, must be &gt;32F</t>
  </si>
  <si>
    <t>to 212F</t>
  </si>
  <si>
    <t>BTU to boil</t>
  </si>
  <si>
    <t>to 212.1F</t>
  </si>
  <si>
    <t>stack temperature &gt;212</t>
  </si>
  <si>
    <t>Total Water BTU/lb.</t>
  </si>
  <si>
    <t>all BTU are in 1,000s per ton wood</t>
  </si>
  <si>
    <t>wood</t>
  </si>
  <si>
    <t>water/lb</t>
  </si>
  <si>
    <t>lbs extra water</t>
  </si>
  <si>
    <t>lbs. water generated</t>
  </si>
  <si>
    <t>MC wet basis</t>
  </si>
  <si>
    <t>Bomb BTU wood/ton/1000</t>
  </si>
  <si>
    <t>BTU loss from extra water</t>
  </si>
  <si>
    <t>BTU loss from created water</t>
  </si>
  <si>
    <t>NET BTU</t>
  </si>
  <si>
    <t>NET BTU at above efficiency</t>
  </si>
  <si>
    <t>TechLine NET BTU Table (17,200)</t>
  </si>
  <si>
    <t>TechLine "What"</t>
  </si>
  <si>
    <t>difference % TechLine vs. calculated</t>
  </si>
  <si>
    <t xml:space="preserve">Apparent Efficiencies </t>
  </si>
  <si>
    <t>TechLine Efficiency</t>
  </si>
  <si>
    <t>ovendried 0%</t>
  </si>
  <si>
    <t>hardwood kilned 8% (7)</t>
  </si>
  <si>
    <t>softwood kilned 13% (8)</t>
  </si>
  <si>
    <t>Air dried 20%</t>
  </si>
  <si>
    <t>Semidried 30%</t>
  </si>
  <si>
    <t>40% (wheel only)</t>
  </si>
  <si>
    <t>Green 50%</t>
  </si>
  <si>
    <t>60% (wheel only)</t>
  </si>
  <si>
    <t>same for all below</t>
  </si>
  <si>
    <t>Typical</t>
  </si>
  <si>
    <t>EPA Residential pellet stoves (8%MC)</t>
  </si>
  <si>
    <t>Dried</t>
  </si>
  <si>
    <t>MC</t>
  </si>
  <si>
    <t>HHV</t>
  </si>
  <si>
    <t>LHV</t>
  </si>
  <si>
    <t>calc LHV from HHV</t>
  </si>
  <si>
    <t>calc HHV from LHV</t>
  </si>
  <si>
    <t>% H of L</t>
  </si>
  <si>
    <t>LHVefficiency</t>
  </si>
  <si>
    <t>Uncertified Residential pellet stove (8%MC)</t>
  </si>
  <si>
    <t>Switch grass (oven dried) commercial boiler</t>
  </si>
  <si>
    <t>theoretical HHV limit Efficiency</t>
  </si>
  <si>
    <t>/lb</t>
  </si>
  <si>
    <t>Located at Forest Products Laboratory • One Gifford Pinchot Drive • Madison, Wisconsin 53726</t>
  </si>
  <si>
    <t>Wood Semidried (30% MC) commercial boiler</t>
  </si>
  <si>
    <t>Wood Green (50% MC) commercial boiler</t>
  </si>
  <si>
    <t>Wood Air-dried (20% MC) commercial boiler</t>
  </si>
  <si>
    <t>EPA catalytic wood stove (20% MC) residential</t>
  </si>
  <si>
    <t>Wood Ovendried (0% MC) commercial boiler</t>
  </si>
  <si>
    <t>Wood pellets (premium 8% MC) commercial boiler</t>
  </si>
  <si>
    <t>Electricity (insert heatpump COP otherwise = 1)</t>
  </si>
  <si>
    <t>Firewood (seasoned 20% MC) commercial boiler</t>
  </si>
  <si>
    <t>Bituminous coal commercial boiler</t>
  </si>
  <si>
    <t>Shelled corn (15% MC) commercial boiler</t>
  </si>
  <si>
    <t>Fuel Oil #1 (kerosene)</t>
  </si>
  <si>
    <t>Fuel Oil #2 (home use, similar to diesel)</t>
  </si>
  <si>
    <t>Fuel Oil #6 (common for ships, bunker C)</t>
  </si>
  <si>
    <t>Moisture content</t>
  </si>
  <si>
    <r>
      <rPr>
        <b/>
        <i/>
        <sz val="11"/>
        <rFont val="Calibri"/>
        <family val="2"/>
      </rPr>
      <t>(4)</t>
    </r>
    <r>
      <rPr>
        <sz val="11"/>
        <rFont val="Calibri"/>
        <family val="2"/>
      </rPr>
      <t xml:space="preserve"> YourNewFuel using typical boiler efficiency</t>
    </r>
  </si>
  <si>
    <r>
      <rPr>
        <b/>
        <i/>
        <sz val="11"/>
        <rFont val="Calibri"/>
        <family val="2"/>
      </rPr>
      <t>(5</t>
    </r>
    <r>
      <rPr>
        <sz val="11"/>
        <rFont val="Calibri"/>
        <family val="2"/>
      </rPr>
      <t>) YourNewFuel using your efficiency</t>
    </r>
  </si>
  <si>
    <t>(1) Select your current fuel source below:</t>
  </si>
  <si>
    <t>EPA non-cat residential wood stove (20% MC)</t>
  </si>
  <si>
    <t>Pre-1990 residential stove (20% MC)</t>
  </si>
  <si>
    <r>
      <t xml:space="preserve">(3) </t>
    </r>
    <r>
      <rPr>
        <b/>
        <sz val="11"/>
        <rFont val="Calibri"/>
        <family val="2"/>
      </rPr>
      <t>Heating</t>
    </r>
  </si>
  <si>
    <t>cost</t>
  </si>
  <si>
    <t>efficiency</t>
  </si>
  <si>
    <r>
      <t>(2)</t>
    </r>
    <r>
      <rPr>
        <b/>
        <i/>
        <sz val="11"/>
        <color indexed="9"/>
        <rFont val="Calibri"/>
        <family val="2"/>
      </rPr>
      <t xml:space="preserve"> Enter your cost below:</t>
    </r>
  </si>
  <si>
    <t xml:space="preserve">For some of this information in a table go to </t>
  </si>
  <si>
    <t xml:space="preserve"> -------------------- Entered values --------------------</t>
  </si>
  <si>
    <t>Item</t>
  </si>
  <si>
    <t>Units</t>
  </si>
  <si>
    <t>Example 1</t>
  </si>
  <si>
    <t>Example 2</t>
  </si>
  <si>
    <t>Size</t>
  </si>
  <si>
    <t>MW</t>
  </si>
  <si>
    <t>Operating</t>
  </si>
  <si>
    <t>Hour/day</t>
  </si>
  <si>
    <t>Days/week</t>
  </si>
  <si>
    <t>Sell price</t>
  </si>
  <si>
    <t>Cost</t>
  </si>
  <si>
    <t xml:space="preserve"> -------------------- Computed values --------------------</t>
  </si>
  <si>
    <t>Produced</t>
  </si>
  <si>
    <t>Electricity/year</t>
  </si>
  <si>
    <t>Used</t>
  </si>
  <si>
    <t>Wood/year</t>
  </si>
  <si>
    <t>Value</t>
  </si>
  <si>
    <t>Margin</t>
  </si>
  <si>
    <t>Net/year</t>
  </si>
  <si>
    <t xml:space="preserve"> -------------------- Excess heat  --------------------</t>
  </si>
  <si>
    <t xml:space="preserve">Excess heat </t>
  </si>
  <si>
    <t>therm/year</t>
  </si>
  <si>
    <t>% efficiency of using that heat</t>
  </si>
  <si>
    <t>Margin total (power and heat)</t>
  </si>
  <si>
    <t xml:space="preserve">Cooling from absorption chiller     </t>
  </si>
  <si>
    <t>Value of cool compared to heat</t>
  </si>
  <si>
    <t>For more complex related reports see:</t>
  </si>
  <si>
    <t xml:space="preserve">http://www.fpl.fs.fed.us/documnts/fplgtr/fpl_gtr157/biomax_10.xls  </t>
  </si>
  <si>
    <t xml:space="preserve">USDA Forest Service • Forest Products Marketing    </t>
  </si>
  <si>
    <t>GENERATING ELECTRICITY FROM WOODY BIOMASS</t>
  </si>
  <si>
    <t xml:space="preserve"> </t>
  </si>
  <si>
    <t>USDA Forest Service • Forest Products Marketing</t>
  </si>
  <si>
    <t>ELECTRICITY FROM WOODY BIOMASS</t>
  </si>
  <si>
    <t>This spreadsheet provides estimated values when considering generating electricity from woody biomass.</t>
  </si>
  <si>
    <t>Cost of wood/ton</t>
  </si>
  <si>
    <t xml:space="preserve">Value of heat per million Btu     </t>
  </si>
  <si>
    <t>Value of heat available per year</t>
  </si>
  <si>
    <t>Value of heat obtained</t>
  </si>
  <si>
    <t>Kilowatts saved rate</t>
  </si>
  <si>
    <t>Your Example</t>
  </si>
  <si>
    <t>Cents/kWh</t>
  </si>
  <si>
    <t>SEER rating of replaced AC unit</t>
  </si>
  <si>
    <t>http://www.fpl.fs.fed.us/documnts/fplgtr/fpl_gtr157.pdf</t>
  </si>
  <si>
    <t>Kilowatt hours saved/year</t>
  </si>
  <si>
    <t>Moisture</t>
  </si>
  <si>
    <t>Content wet basis</t>
  </si>
  <si>
    <t>Efficiency</t>
  </si>
  <si>
    <t xml:space="preserve">Total energy </t>
  </si>
  <si>
    <t>% of waste heat used for cooling.</t>
  </si>
  <si>
    <t>Value of electricty displaced at Sell price</t>
  </si>
  <si>
    <t>Just for electricical portion</t>
  </si>
  <si>
    <t>C</t>
  </si>
  <si>
    <t>D</t>
  </si>
  <si>
    <t>E</t>
  </si>
  <si>
    <t>G</t>
  </si>
  <si>
    <t>H</t>
  </si>
  <si>
    <t>-Excess heat converted to chilled water for AC using an absorption chiller-</t>
  </si>
  <si>
    <t>Btu/ton/1000</t>
  </si>
  <si>
    <t>Two examples are included.*</t>
  </si>
  <si>
    <t>Btu/hr when running</t>
  </si>
  <si>
    <t>millionBtu/yr</t>
  </si>
  <si>
    <t>Btu to boil</t>
  </si>
  <si>
    <t>Total Water Btu/lb.</t>
  </si>
  <si>
    <t>Bomb Btu wood/ton/1000</t>
  </si>
  <si>
    <t>Btu loss from extra water</t>
  </si>
  <si>
    <t>Btu loss from created water</t>
  </si>
  <si>
    <t>NET Btu/ton/1000</t>
  </si>
  <si>
    <t>Your current cost per million Btu (mmBtu) is:</t>
  </si>
  <si>
    <t>Knaebe</t>
  </si>
  <si>
    <t>Margin total (power, heat and cool)</t>
  </si>
  <si>
    <t xml:space="preserve"> ------------------- Heat vs Cool and Total Margin  -------------------</t>
  </si>
  <si>
    <t>Only change numbers in orange boxes</t>
  </si>
  <si>
    <t>Bomb Btu/lb</t>
  </si>
  <si>
    <t>Btu/lb. of water</t>
  </si>
  <si>
    <t xml:space="preserve">   pounds of water created burning 20 lbs of bone dry wood. =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</si>
</sst>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_*\ #,###.#&quot; tons/day&quot;"/>
    <numFmt numFmtId="168" formatCode="[$$-409]#,##0_);[Red]\([$$-409]#,##0\)"/>
    <numFmt numFmtId="169" formatCode="0.0%"/>
    <numFmt numFmtId="170" formatCode="0.000000000000000000%"/>
    <numFmt numFmtId="171" formatCode="0&quot;%&quot;"/>
    <numFmt numFmtId="172" formatCode="0&quot;¢&quot;"/>
    <numFmt numFmtId="173" formatCode="0&quot; tons&quot;"/>
    <numFmt numFmtId="174" formatCode="#,##0&quot; kWh&quot;"/>
    <numFmt numFmtId="175" formatCode="#,##0&quot; tons&quot;"/>
    <numFmt numFmtId="176" formatCode="#,##0&quot; kW&quot;"/>
    <numFmt numFmtId="177" formatCode="#,##0&quot; Btu/hr&quot;"/>
    <numFmt numFmtId="178" formatCode="#,##0&quot; Therm/yr&quot;"/>
    <numFmt numFmtId="179" formatCode="#,##0&quot; kWh/yr&quot;"/>
    <numFmt numFmtId="180" formatCode="#,##0&quot; mmBtu/yr&quot;"/>
    <numFmt numFmtId="181" formatCode="#,##0&quot; days/wk&quot;"/>
    <numFmt numFmtId="182" formatCode="#,##0&quot; hours/day&quot;"/>
  </numFmts>
  <fonts count="82">
    <font>
      <sz val="10"/>
      <name val="Arial"/>
      <family val="0"/>
    </font>
    <font>
      <sz val="11"/>
      <color indexed="8"/>
      <name val="Century Gothic"/>
      <family val="2"/>
    </font>
    <font>
      <sz val="8"/>
      <name val="Arial"/>
      <family val="2"/>
    </font>
    <font>
      <u val="single"/>
      <sz val="10"/>
      <color indexed="12"/>
      <name val="Arial"/>
      <family val="2"/>
    </font>
    <font>
      <sz val="9"/>
      <name val="Tahoma"/>
      <family val="2"/>
    </font>
    <font>
      <b/>
      <sz val="9"/>
      <name val="Tahoma"/>
      <family val="2"/>
    </font>
    <font>
      <b/>
      <sz val="11"/>
      <name val="Calibri"/>
      <family val="2"/>
    </font>
    <font>
      <sz val="11"/>
      <name val="Calibri"/>
      <family val="2"/>
    </font>
    <font>
      <b/>
      <sz val="11"/>
      <color indexed="12"/>
      <name val="Calibri"/>
      <family val="2"/>
    </font>
    <font>
      <b/>
      <i/>
      <sz val="11"/>
      <name val="Calibri"/>
      <family val="2"/>
    </font>
    <font>
      <b/>
      <sz val="11"/>
      <color indexed="9"/>
      <name val="Calibri"/>
      <family val="2"/>
    </font>
    <font>
      <b/>
      <i/>
      <sz val="11"/>
      <color indexed="9"/>
      <name val="Calibri"/>
      <family val="2"/>
    </font>
    <font>
      <sz val="11"/>
      <color indexed="9"/>
      <name val="Century Gothic"/>
      <family val="2"/>
    </font>
    <font>
      <sz val="11"/>
      <color indexed="62"/>
      <name val="Century Gothic"/>
      <family val="2"/>
    </font>
    <font>
      <sz val="9"/>
      <name val="Calibri"/>
      <family val="2"/>
    </font>
    <font>
      <b/>
      <sz val="9"/>
      <name val="Calibri"/>
      <family val="2"/>
    </font>
    <font>
      <b/>
      <sz val="10"/>
      <name val="Calibri"/>
      <family val="2"/>
    </font>
    <font>
      <b/>
      <sz val="11"/>
      <name val="Cambria"/>
      <family val="1"/>
    </font>
    <font>
      <b/>
      <sz val="11"/>
      <name val="Candara"/>
      <family val="2"/>
    </font>
    <font>
      <sz val="11"/>
      <name val="Cambria"/>
      <family val="1"/>
    </font>
    <font>
      <sz val="11"/>
      <color indexed="9"/>
      <name val="Calibri"/>
      <family val="2"/>
    </font>
    <font>
      <sz val="11"/>
      <color indexed="18"/>
      <name val="Calibri"/>
      <family val="2"/>
    </font>
    <font>
      <sz val="11"/>
      <color indexed="8"/>
      <name val="Calibri"/>
      <family val="2"/>
    </font>
    <font>
      <sz val="11"/>
      <color indexed="12"/>
      <name val="Calibri"/>
      <family val="2"/>
    </font>
    <font>
      <sz val="10"/>
      <name val="Calibri"/>
      <family val="2"/>
    </font>
    <font>
      <b/>
      <sz val="11"/>
      <color indexed="8"/>
      <name val="Calibri"/>
      <family val="2"/>
    </font>
    <font>
      <u val="single"/>
      <sz val="11"/>
      <color indexed="12"/>
      <name val="Calibri"/>
      <family val="2"/>
    </font>
    <font>
      <sz val="10.5"/>
      <name val="Calibri"/>
      <family val="2"/>
    </font>
    <font>
      <b/>
      <sz val="18"/>
      <color indexed="9"/>
      <name val="Calibri"/>
      <family val="2"/>
    </font>
    <font>
      <b/>
      <sz val="20"/>
      <color indexed="9"/>
      <name val="Calibri"/>
      <family val="2"/>
    </font>
    <font>
      <b/>
      <sz val="18"/>
      <color indexed="19"/>
      <name val="Book Antiqua"/>
      <family val="2"/>
    </font>
    <font>
      <b/>
      <sz val="15"/>
      <color indexed="19"/>
      <name val="Century Gothic"/>
      <family val="2"/>
    </font>
    <font>
      <b/>
      <sz val="13"/>
      <color indexed="19"/>
      <name val="Century Gothic"/>
      <family val="2"/>
    </font>
    <font>
      <b/>
      <sz val="11"/>
      <color indexed="19"/>
      <name val="Century Gothic"/>
      <family val="2"/>
    </font>
    <font>
      <sz val="11"/>
      <color indexed="17"/>
      <name val="Century Gothic"/>
      <family val="2"/>
    </font>
    <font>
      <sz val="11"/>
      <color indexed="14"/>
      <name val="Century Gothic"/>
      <family val="2"/>
    </font>
    <font>
      <sz val="11"/>
      <color indexed="60"/>
      <name val="Century Gothic"/>
      <family val="2"/>
    </font>
    <font>
      <b/>
      <sz val="11"/>
      <color indexed="63"/>
      <name val="Century Gothic"/>
      <family val="2"/>
    </font>
    <font>
      <b/>
      <sz val="11"/>
      <color indexed="52"/>
      <name val="Century Gothic"/>
      <family val="2"/>
    </font>
    <font>
      <sz val="11"/>
      <color indexed="52"/>
      <name val="Century Gothic"/>
      <family val="2"/>
    </font>
    <font>
      <b/>
      <sz val="11"/>
      <color indexed="9"/>
      <name val="Century Gothic"/>
      <family val="2"/>
    </font>
    <font>
      <sz val="11"/>
      <color indexed="10"/>
      <name val="Century Gothic"/>
      <family val="2"/>
    </font>
    <font>
      <i/>
      <sz val="11"/>
      <color indexed="23"/>
      <name val="Century Gothic"/>
      <family val="2"/>
    </font>
    <font>
      <b/>
      <sz val="11"/>
      <color indexed="8"/>
      <name val="Century Gothic"/>
      <family val="2"/>
    </font>
    <font>
      <b/>
      <i/>
      <sz val="2"/>
      <color indexed="8"/>
      <name val="Calibri"/>
      <family val="0"/>
    </font>
    <font>
      <b/>
      <i/>
      <sz val="11"/>
      <color indexed="8"/>
      <name val="Calibri"/>
      <family val="0"/>
    </font>
    <font>
      <b/>
      <sz val="11"/>
      <color indexed="52"/>
      <name val="Calibri"/>
      <family val="0"/>
    </font>
    <font>
      <sz val="11"/>
      <color indexed="53"/>
      <name val="Calibri"/>
      <family val="0"/>
    </font>
    <font>
      <b/>
      <i/>
      <sz val="4"/>
      <color indexed="8"/>
      <name val="Calibri"/>
      <family val="0"/>
    </font>
    <font>
      <b/>
      <sz val="14"/>
      <color indexed="9"/>
      <name val="Calibri"/>
      <family val="0"/>
    </font>
    <font>
      <b/>
      <sz val="12"/>
      <color indexed="8"/>
      <name val="Calibri"/>
      <family val="0"/>
    </font>
    <font>
      <b/>
      <sz val="10.5"/>
      <color indexed="10"/>
      <name val="Calibri"/>
      <family val="0"/>
    </font>
    <font>
      <i/>
      <sz val="11"/>
      <color indexed="8"/>
      <name val="Calibri"/>
      <family val="0"/>
    </font>
    <font>
      <b/>
      <sz val="11"/>
      <color indexed="10"/>
      <name val="Calibri"/>
      <family val="0"/>
    </font>
    <font>
      <sz val="11"/>
      <color indexed="8"/>
      <name val="Cambria"/>
      <family val="0"/>
    </font>
    <font>
      <sz val="11"/>
      <color theme="1"/>
      <name val="Century Gothic"/>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Book Antiqua"/>
      <family val="2"/>
    </font>
    <font>
      <b/>
      <sz val="11"/>
      <color theme="1"/>
      <name val="Century Gothic"/>
      <family val="2"/>
    </font>
    <font>
      <sz val="11"/>
      <color rgb="FFFF0000"/>
      <name val="Century Gothic"/>
      <family val="2"/>
    </font>
    <font>
      <b/>
      <i/>
      <sz val="11"/>
      <color theme="0"/>
      <name val="Calibri"/>
      <family val="2"/>
    </font>
    <font>
      <b/>
      <sz val="11"/>
      <color rgb="FF0000CC"/>
      <name val="Calibri"/>
      <family val="2"/>
    </font>
    <font>
      <b/>
      <sz val="11"/>
      <color theme="0"/>
      <name val="Calibri"/>
      <family val="2"/>
    </font>
    <font>
      <sz val="11"/>
      <color theme="0"/>
      <name val="Calibri"/>
      <family val="2"/>
    </font>
    <font>
      <b/>
      <sz val="11"/>
      <color rgb="FF0000D4"/>
      <name val="Calibri"/>
      <family val="2"/>
    </font>
    <font>
      <b/>
      <sz val="11"/>
      <color theme="1"/>
      <name val="Calibri"/>
      <family val="2"/>
    </font>
    <font>
      <sz val="11"/>
      <color theme="1"/>
      <name val="Calibri"/>
      <family val="2"/>
    </font>
    <font>
      <b/>
      <sz val="20"/>
      <color theme="0"/>
      <name val="Calibri"/>
      <family val="2"/>
    </font>
    <font>
      <b/>
      <sz val="18"/>
      <color theme="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
      <patternFill patternType="solid">
        <fgColor rgb="FFFF9933"/>
        <bgColor indexed="64"/>
      </patternFill>
    </fill>
    <fill>
      <patternFill patternType="solid">
        <fgColor theme="0" tint="-0.1499900072813034"/>
        <bgColor indexed="64"/>
      </patternFill>
    </fill>
    <fill>
      <patternFill patternType="solid">
        <fgColor theme="0"/>
        <bgColor indexed="64"/>
      </patternFill>
    </fill>
    <fill>
      <patternFill patternType="solid">
        <fgColor rgb="FF99CCFF"/>
        <bgColor indexed="64"/>
      </patternFill>
    </fill>
    <fill>
      <patternFill patternType="solid">
        <fgColor indexed="50"/>
        <bgColor indexed="64"/>
      </patternFill>
    </fill>
    <fill>
      <patternFill patternType="solid">
        <fgColor theme="0" tint="-0.04997999966144562"/>
        <bgColor indexed="64"/>
      </patternFill>
    </fill>
    <fill>
      <patternFill patternType="solid">
        <fgColor rgb="FF00B0F0"/>
        <bgColor indexed="64"/>
      </patternFill>
    </fill>
    <fill>
      <patternFill patternType="solid">
        <fgColor rgb="FF00B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top/>
      <bottom style="thin"/>
    </border>
    <border>
      <left/>
      <right style="thin"/>
      <top/>
      <bottom/>
    </border>
    <border>
      <left/>
      <right style="thin"/>
      <top/>
      <bottom style="thin"/>
    </border>
    <border>
      <left style="thin"/>
      <right/>
      <top/>
      <bottom/>
    </border>
    <border>
      <left/>
      <right style="thin"/>
      <top style="thin"/>
      <bottom/>
    </border>
    <border>
      <left style="thin"/>
      <right style="thin"/>
      <top style="thin"/>
      <bottom/>
    </border>
    <border>
      <left style="thin"/>
      <right style="thin"/>
      <top/>
      <bottom style="thin"/>
    </border>
    <border>
      <left style="thin"/>
      <right/>
      <top style="thin"/>
      <bottom/>
    </border>
    <border>
      <left style="thick"/>
      <right style="thick"/>
      <top style="thick"/>
      <bottom style="thin"/>
    </border>
    <border>
      <left style="thick"/>
      <right style="thick"/>
      <top style="thin"/>
      <bottom style="thin"/>
    </border>
    <border>
      <left style="thick"/>
      <right style="thick"/>
      <top style="thin"/>
      <bottom style="thick"/>
    </border>
    <border>
      <left style="thick"/>
      <right style="thick"/>
      <top style="thick"/>
      <bottom style="thick"/>
    </border>
    <border>
      <left style="thin"/>
      <right style="thin"/>
      <top style="thick"/>
      <bottom style="thin"/>
    </border>
    <border>
      <left/>
      <right/>
      <top style="thin"/>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53">
    <xf numFmtId="0" fontId="0" fillId="0" borderId="0" xfId="0" applyAlignment="1">
      <alignment/>
    </xf>
    <xf numFmtId="0" fontId="6" fillId="0" borderId="0" xfId="0" applyFont="1" applyAlignment="1">
      <alignment/>
    </xf>
    <xf numFmtId="3" fontId="7" fillId="0" borderId="0" xfId="0" applyNumberFormat="1" applyFont="1" applyAlignment="1">
      <alignment/>
    </xf>
    <xf numFmtId="0" fontId="7" fillId="0" borderId="10" xfId="0" applyFont="1" applyBorder="1" applyAlignment="1">
      <alignment vertical="center"/>
    </xf>
    <xf numFmtId="0" fontId="7" fillId="0" borderId="10" xfId="0" applyFont="1" applyBorder="1" applyAlignment="1">
      <alignment horizontal="center" vertical="center"/>
    </xf>
    <xf numFmtId="3" fontId="7" fillId="0" borderId="10" xfId="0" applyNumberFormat="1" applyFont="1" applyBorder="1" applyAlignment="1">
      <alignment horizontal="center" vertical="center"/>
    </xf>
    <xf numFmtId="164" fontId="7" fillId="0" borderId="11" xfId="0" applyNumberFormat="1" applyFont="1" applyBorder="1" applyAlignment="1">
      <alignment horizontal="right" vertical="center"/>
    </xf>
    <xf numFmtId="0" fontId="7" fillId="0" borderId="12" xfId="0" applyFont="1" applyBorder="1" applyAlignment="1">
      <alignment vertical="center"/>
    </xf>
    <xf numFmtId="164" fontId="7" fillId="0" borderId="12" xfId="0" applyNumberFormat="1" applyFont="1" applyBorder="1" applyAlignment="1">
      <alignment horizontal="center" vertical="center"/>
    </xf>
    <xf numFmtId="9" fontId="7" fillId="0" borderId="10" xfId="0" applyNumberFormat="1" applyFont="1" applyBorder="1" applyAlignment="1">
      <alignment horizontal="center" vertical="center"/>
    </xf>
    <xf numFmtId="9" fontId="7" fillId="0" borderId="10" xfId="0" applyNumberFormat="1" applyFont="1" applyFill="1" applyBorder="1" applyAlignment="1">
      <alignment horizontal="center" vertical="center"/>
    </xf>
    <xf numFmtId="3" fontId="7" fillId="0" borderId="10" xfId="0" applyNumberFormat="1" applyFont="1" applyBorder="1" applyAlignment="1">
      <alignment vertical="center"/>
    </xf>
    <xf numFmtId="165" fontId="7" fillId="0" borderId="11" xfId="0" applyNumberFormat="1" applyFont="1" applyBorder="1" applyAlignment="1">
      <alignment horizontal="right" vertical="center"/>
    </xf>
    <xf numFmtId="0" fontId="7" fillId="0" borderId="12" xfId="0" applyFont="1" applyBorder="1" applyAlignment="1">
      <alignment horizontal="center" vertical="center"/>
    </xf>
    <xf numFmtId="0" fontId="7" fillId="0" borderId="10" xfId="0" applyFont="1" applyBorder="1" applyAlignment="1">
      <alignment horizontal="right" vertical="center"/>
    </xf>
    <xf numFmtId="166" fontId="7" fillId="0" borderId="11" xfId="0" applyNumberFormat="1" applyFont="1" applyBorder="1" applyAlignment="1">
      <alignment horizontal="right" vertical="center"/>
    </xf>
    <xf numFmtId="165" fontId="7" fillId="0" borderId="12" xfId="0" applyNumberFormat="1" applyFont="1" applyBorder="1" applyAlignment="1">
      <alignment horizontal="center" vertical="center"/>
    </xf>
    <xf numFmtId="0" fontId="7" fillId="0" borderId="0" xfId="0" applyFont="1" applyBorder="1" applyAlignment="1">
      <alignment/>
    </xf>
    <xf numFmtId="0" fontId="7" fillId="0" borderId="0" xfId="0" applyFont="1" applyBorder="1" applyAlignment="1" quotePrefix="1">
      <alignment horizontal="right"/>
    </xf>
    <xf numFmtId="0" fontId="7" fillId="0" borderId="13" xfId="0" applyFont="1" applyBorder="1" applyAlignment="1">
      <alignment/>
    </xf>
    <xf numFmtId="165" fontId="7" fillId="0" borderId="13" xfId="0" applyNumberFormat="1" applyFont="1" applyBorder="1" applyAlignment="1">
      <alignment/>
    </xf>
    <xf numFmtId="165" fontId="8" fillId="0" borderId="13" xfId="0" applyNumberFormat="1" applyFont="1" applyBorder="1" applyAlignment="1">
      <alignment horizontal="center" vertical="center"/>
    </xf>
    <xf numFmtId="165" fontId="7" fillId="0" borderId="13" xfId="0" applyNumberFormat="1" applyFont="1" applyBorder="1" applyAlignment="1">
      <alignment vertical="center"/>
    </xf>
    <xf numFmtId="0" fontId="72" fillId="33" borderId="0" xfId="0" applyFont="1" applyFill="1" applyBorder="1" applyAlignment="1">
      <alignment horizontal="left" vertical="center" indent="1"/>
    </xf>
    <xf numFmtId="0" fontId="7" fillId="0" borderId="10" xfId="0" applyFont="1" applyBorder="1" applyAlignment="1">
      <alignment horizontal="left" vertical="center" indent="1"/>
    </xf>
    <xf numFmtId="0" fontId="73" fillId="0" borderId="14" xfId="0" applyFont="1" applyFill="1" applyBorder="1" applyAlignment="1">
      <alignment horizontal="left" vertical="center" indent="1"/>
    </xf>
    <xf numFmtId="0" fontId="7" fillId="0" borderId="0" xfId="0" applyFont="1" applyFill="1" applyBorder="1" applyAlignment="1">
      <alignment horizontal="center" vertical="center"/>
    </xf>
    <xf numFmtId="0" fontId="7" fillId="0" borderId="15" xfId="0" applyNumberFormat="1" applyFont="1" applyBorder="1" applyAlignment="1">
      <alignment/>
    </xf>
    <xf numFmtId="0" fontId="7" fillId="0" borderId="16" xfId="0" applyFont="1" applyBorder="1" applyAlignment="1">
      <alignment/>
    </xf>
    <xf numFmtId="0" fontId="7" fillId="0" borderId="12" xfId="0" applyFont="1" applyBorder="1" applyAlignment="1">
      <alignment/>
    </xf>
    <xf numFmtId="0" fontId="6" fillId="0" borderId="0" xfId="0" applyFont="1" applyFill="1" applyBorder="1" applyAlignment="1">
      <alignment horizontal="center" vertical="center"/>
    </xf>
    <xf numFmtId="0" fontId="7" fillId="34" borderId="10" xfId="53" applyFont="1" applyFill="1" applyBorder="1" applyAlignment="1">
      <alignment horizontal="left" vertical="center" indent="1"/>
    </xf>
    <xf numFmtId="9" fontId="7" fillId="35" borderId="10" xfId="0" applyNumberFormat="1" applyFont="1" applyFill="1" applyBorder="1" applyAlignment="1">
      <alignment horizontal="center" vertical="center"/>
    </xf>
    <xf numFmtId="0" fontId="7" fillId="36" borderId="10" xfId="0" applyFont="1" applyFill="1" applyBorder="1" applyAlignment="1">
      <alignment horizontal="center" vertical="center"/>
    </xf>
    <xf numFmtId="3" fontId="7" fillId="36" borderId="10" xfId="0" applyNumberFormat="1" applyFont="1" applyFill="1" applyBorder="1" applyAlignment="1">
      <alignment horizontal="center" vertical="center"/>
    </xf>
    <xf numFmtId="9" fontId="7" fillId="36" borderId="10" xfId="0" applyNumberFormat="1" applyFont="1" applyFill="1" applyBorder="1" applyAlignment="1">
      <alignment horizontal="center" vertical="center"/>
    </xf>
    <xf numFmtId="165" fontId="7" fillId="36" borderId="10" xfId="0" applyNumberFormat="1" applyFont="1" applyFill="1" applyBorder="1" applyAlignment="1">
      <alignment horizontal="center" vertical="center"/>
    </xf>
    <xf numFmtId="0" fontId="74" fillId="0" borderId="0" xfId="0" applyFont="1" applyFill="1" applyAlignment="1">
      <alignment horizontal="center" vertical="center"/>
    </xf>
    <xf numFmtId="0" fontId="7" fillId="0" borderId="0" xfId="0" applyFont="1" applyFill="1" applyAlignment="1">
      <alignment/>
    </xf>
    <xf numFmtId="0" fontId="7" fillId="0" borderId="0" xfId="0" applyFont="1" applyFill="1" applyAlignment="1">
      <alignment/>
    </xf>
    <xf numFmtId="0" fontId="75"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vertical="top"/>
    </xf>
    <xf numFmtId="0" fontId="74" fillId="0" borderId="0" xfId="0" applyFont="1" applyFill="1" applyAlignment="1">
      <alignment horizontal="center" vertical="top"/>
    </xf>
    <xf numFmtId="0" fontId="7" fillId="0" borderId="0" xfId="0" applyFont="1" applyFill="1" applyAlignment="1">
      <alignment horizontal="center" vertical="top"/>
    </xf>
    <xf numFmtId="0" fontId="7" fillId="0" borderId="0" xfId="0" applyFont="1" applyAlignment="1">
      <alignment/>
    </xf>
    <xf numFmtId="0" fontId="7" fillId="0" borderId="0" xfId="0" applyFont="1" applyAlignment="1">
      <alignment vertical="top"/>
    </xf>
    <xf numFmtId="0" fontId="21" fillId="0" borderId="0" xfId="0" applyFont="1" applyAlignment="1">
      <alignment horizontal="center" vertical="top"/>
    </xf>
    <xf numFmtId="0" fontId="7" fillId="37" borderId="11" xfId="0" applyFont="1" applyFill="1" applyBorder="1" applyAlignment="1">
      <alignment horizontal="center" vertical="center"/>
    </xf>
    <xf numFmtId="0" fontId="7" fillId="37" borderId="13" xfId="0" applyFont="1" applyFill="1" applyBorder="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6" fillId="38" borderId="10" xfId="0" applyFont="1" applyFill="1" applyBorder="1" applyAlignment="1">
      <alignment horizontal="center" vertical="center"/>
    </xf>
    <xf numFmtId="0" fontId="76" fillId="0" borderId="10" xfId="0" applyFont="1" applyBorder="1" applyAlignment="1">
      <alignment horizontal="center" vertical="center"/>
    </xf>
    <xf numFmtId="0" fontId="7" fillId="0" borderId="11" xfId="0" applyFont="1" applyBorder="1" applyAlignment="1">
      <alignment vertical="center"/>
    </xf>
    <xf numFmtId="0" fontId="7" fillId="38" borderId="10" xfId="0" applyNumberFormat="1" applyFont="1" applyFill="1" applyBorder="1" applyAlignment="1" applyProtection="1">
      <alignment horizontal="center" vertical="center"/>
      <protection locked="0"/>
    </xf>
    <xf numFmtId="0" fontId="7" fillId="38" borderId="10" xfId="0" applyFont="1" applyFill="1" applyBorder="1" applyAlignment="1" applyProtection="1">
      <alignment horizontal="center" vertical="center"/>
      <protection locked="0"/>
    </xf>
    <xf numFmtId="0" fontId="7" fillId="36" borderId="10" xfId="0" applyFont="1" applyFill="1" applyBorder="1" applyAlignment="1" applyProtection="1">
      <alignment horizontal="center" vertical="center"/>
      <protection locked="0"/>
    </xf>
    <xf numFmtId="0" fontId="7" fillId="0" borderId="0" xfId="0" applyFont="1" applyFill="1" applyBorder="1" applyAlignment="1">
      <alignment vertical="center"/>
    </xf>
    <xf numFmtId="182" fontId="7" fillId="38" borderId="10" xfId="0" applyNumberFormat="1" applyFont="1" applyFill="1" applyBorder="1" applyAlignment="1" applyProtection="1">
      <alignment horizontal="center" vertical="center"/>
      <protection locked="0"/>
    </xf>
    <xf numFmtId="182" fontId="7" fillId="36" borderId="10" xfId="0" applyNumberFormat="1" applyFont="1" applyFill="1" applyBorder="1" applyAlignment="1" applyProtection="1">
      <alignment horizontal="center" vertical="center"/>
      <protection locked="0"/>
    </xf>
    <xf numFmtId="0" fontId="7" fillId="0" borderId="0" xfId="0" applyFont="1" applyFill="1" applyBorder="1" applyAlignment="1">
      <alignment vertical="top"/>
    </xf>
    <xf numFmtId="181" fontId="7" fillId="38" borderId="10" xfId="0" applyNumberFormat="1" applyFont="1" applyFill="1" applyBorder="1" applyAlignment="1" applyProtection="1">
      <alignment horizontal="center" vertical="center"/>
      <protection locked="0"/>
    </xf>
    <xf numFmtId="181" fontId="7" fillId="36" borderId="10" xfId="0" applyNumberFormat="1" applyFont="1" applyFill="1" applyBorder="1" applyAlignment="1" applyProtection="1">
      <alignment horizontal="center" vertical="center"/>
      <protection locked="0"/>
    </xf>
    <xf numFmtId="172" fontId="7" fillId="38" borderId="10" xfId="0" applyNumberFormat="1" applyFont="1" applyFill="1" applyBorder="1" applyAlignment="1">
      <alignment horizontal="center"/>
    </xf>
    <xf numFmtId="172" fontId="7" fillId="36" borderId="10" xfId="0" applyNumberFormat="1" applyFont="1" applyFill="1" applyBorder="1" applyAlignment="1">
      <alignment horizontal="center"/>
    </xf>
    <xf numFmtId="5" fontId="7" fillId="38" borderId="10" xfId="0" applyNumberFormat="1" applyFont="1" applyFill="1" applyBorder="1" applyAlignment="1" applyProtection="1">
      <alignment horizontal="center" vertical="center"/>
      <protection locked="0"/>
    </xf>
    <xf numFmtId="5" fontId="7" fillId="36" borderId="10" xfId="0" applyNumberFormat="1" applyFont="1" applyFill="1" applyBorder="1" applyAlignment="1" applyProtection="1">
      <alignment horizontal="center" vertical="center"/>
      <protection locked="0"/>
    </xf>
    <xf numFmtId="0" fontId="22" fillId="0" borderId="11" xfId="0" applyFont="1" applyBorder="1" applyAlignment="1">
      <alignment/>
    </xf>
    <xf numFmtId="0" fontId="22" fillId="0" borderId="10" xfId="0" applyFont="1" applyBorder="1" applyAlignment="1">
      <alignment/>
    </xf>
    <xf numFmtId="171" fontId="22" fillId="38" borderId="10" xfId="0" applyNumberFormat="1" applyFont="1" applyFill="1" applyBorder="1" applyAlignment="1">
      <alignment horizontal="center"/>
    </xf>
    <xf numFmtId="171" fontId="22" fillId="36" borderId="10" xfId="0" applyNumberFormat="1" applyFont="1" applyFill="1" applyBorder="1" applyAlignment="1">
      <alignment horizontal="center"/>
    </xf>
    <xf numFmtId="0" fontId="22" fillId="0" borderId="13" xfId="0" applyFont="1" applyBorder="1" applyAlignment="1">
      <alignment/>
    </xf>
    <xf numFmtId="0" fontId="7" fillId="37" borderId="11" xfId="0" applyFont="1" applyFill="1" applyBorder="1" applyAlignment="1">
      <alignment vertical="center"/>
    </xf>
    <xf numFmtId="0" fontId="7" fillId="37" borderId="13" xfId="0" applyFont="1" applyFill="1" applyBorder="1" applyAlignment="1">
      <alignment vertical="center"/>
    </xf>
    <xf numFmtId="0" fontId="7" fillId="0" borderId="11" xfId="0" applyFont="1" applyBorder="1" applyAlignment="1">
      <alignment horizontal="center" vertical="center"/>
    </xf>
    <xf numFmtId="0" fontId="6" fillId="0" borderId="10" xfId="0" applyFont="1" applyBorder="1" applyAlignment="1">
      <alignment horizontal="center" vertical="center"/>
    </xf>
    <xf numFmtId="0" fontId="8" fillId="0" borderId="10" xfId="0" applyFont="1" applyBorder="1" applyAlignment="1">
      <alignment horizontal="center" vertical="center"/>
    </xf>
    <xf numFmtId="174" fontId="7" fillId="38" borderId="10" xfId="42" applyNumberFormat="1" applyFont="1" applyFill="1" applyBorder="1" applyAlignment="1">
      <alignment horizontal="center" vertical="center"/>
    </xf>
    <xf numFmtId="174" fontId="7" fillId="39" borderId="10" xfId="42" applyNumberFormat="1" applyFont="1" applyFill="1" applyBorder="1" applyAlignment="1">
      <alignment horizontal="center" vertical="center"/>
    </xf>
    <xf numFmtId="0" fontId="23" fillId="0" borderId="0" xfId="0" applyFont="1" applyAlignment="1">
      <alignment vertical="center"/>
    </xf>
    <xf numFmtId="173" fontId="7" fillId="38" borderId="10" xfId="42" applyNumberFormat="1" applyFont="1" applyFill="1" applyBorder="1" applyAlignment="1">
      <alignment horizontal="center" vertical="center"/>
    </xf>
    <xf numFmtId="175" fontId="7" fillId="38" borderId="10" xfId="42" applyNumberFormat="1" applyFont="1" applyFill="1" applyBorder="1" applyAlignment="1">
      <alignment horizontal="center" vertical="center"/>
    </xf>
    <xf numFmtId="175" fontId="7" fillId="39" borderId="10" xfId="42" applyNumberFormat="1" applyFont="1" applyFill="1" applyBorder="1" applyAlignment="1">
      <alignment horizontal="center" vertical="center"/>
    </xf>
    <xf numFmtId="167" fontId="7" fillId="39" borderId="10" xfId="0" applyNumberFormat="1" applyFont="1" applyFill="1" applyBorder="1" applyAlignment="1">
      <alignment horizontal="left" vertical="center" shrinkToFit="1"/>
    </xf>
    <xf numFmtId="0" fontId="7" fillId="0" borderId="17" xfId="0" applyFont="1" applyFill="1" applyBorder="1" applyAlignment="1">
      <alignment vertical="center"/>
    </xf>
    <xf numFmtId="0" fontId="7" fillId="0" borderId="10" xfId="0" applyFont="1" applyFill="1" applyBorder="1" applyAlignment="1">
      <alignment vertical="center"/>
    </xf>
    <xf numFmtId="168" fontId="7" fillId="38" borderId="12" xfId="44" applyNumberFormat="1" applyFont="1" applyFill="1" applyBorder="1" applyAlignment="1">
      <alignment horizontal="center" vertical="center"/>
    </xf>
    <xf numFmtId="168" fontId="7" fillId="39" borderId="12" xfId="44" applyNumberFormat="1" applyFont="1" applyFill="1" applyBorder="1" applyAlignment="1">
      <alignment horizontal="center" vertical="center"/>
    </xf>
    <xf numFmtId="0" fontId="22" fillId="0" borderId="10" xfId="0" applyFont="1" applyBorder="1" applyAlignment="1">
      <alignment vertical="center"/>
    </xf>
    <xf numFmtId="6" fontId="6" fillId="38" borderId="18" xfId="44" applyNumberFormat="1" applyFont="1" applyFill="1" applyBorder="1" applyAlignment="1">
      <alignment horizontal="center" vertical="center"/>
    </xf>
    <xf numFmtId="6" fontId="6" fillId="39" borderId="18" xfId="44" applyNumberFormat="1" applyFont="1" applyFill="1" applyBorder="1" applyAlignment="1">
      <alignment horizontal="center" vertical="center"/>
    </xf>
    <xf numFmtId="0" fontId="8" fillId="0" borderId="13" xfId="0" applyFont="1" applyBorder="1" applyAlignment="1">
      <alignment horizontal="center" vertical="center"/>
    </xf>
    <xf numFmtId="0" fontId="7" fillId="0" borderId="10" xfId="0" applyFont="1" applyBorder="1" applyAlignment="1">
      <alignment horizontal="left" shrinkToFit="1"/>
    </xf>
    <xf numFmtId="0" fontId="7" fillId="0" borderId="10" xfId="0" applyFont="1" applyBorder="1" applyAlignment="1">
      <alignment horizontal="left"/>
    </xf>
    <xf numFmtId="177" fontId="7" fillId="38" borderId="10" xfId="0" applyNumberFormat="1" applyFont="1" applyFill="1" applyBorder="1" applyAlignment="1">
      <alignment horizontal="center"/>
    </xf>
    <xf numFmtId="177" fontId="7" fillId="39" borderId="10" xfId="42" applyNumberFormat="1" applyFont="1" applyFill="1" applyBorder="1" applyAlignment="1">
      <alignment horizontal="center" vertical="center"/>
    </xf>
    <xf numFmtId="177" fontId="7" fillId="38" borderId="10" xfId="42" applyNumberFormat="1" applyFont="1" applyFill="1" applyBorder="1" applyAlignment="1">
      <alignment horizontal="center"/>
    </xf>
    <xf numFmtId="0" fontId="7" fillId="0" borderId="11" xfId="0" applyFont="1" applyBorder="1" applyAlignment="1">
      <alignment horizontal="left"/>
    </xf>
    <xf numFmtId="178" fontId="7" fillId="38" borderId="10" xfId="0" applyNumberFormat="1" applyFont="1" applyFill="1" applyBorder="1" applyAlignment="1">
      <alignment horizontal="center"/>
    </xf>
    <xf numFmtId="178" fontId="7" fillId="39" borderId="10" xfId="42" applyNumberFormat="1" applyFont="1" applyFill="1" applyBorder="1" applyAlignment="1">
      <alignment horizontal="center" vertical="center"/>
    </xf>
    <xf numFmtId="0" fontId="7" fillId="0" borderId="11" xfId="0" applyFont="1" applyBorder="1" applyAlignment="1">
      <alignment/>
    </xf>
    <xf numFmtId="180" fontId="7" fillId="38" borderId="10" xfId="0" applyNumberFormat="1" applyFont="1" applyFill="1" applyBorder="1" applyAlignment="1">
      <alignment horizontal="center"/>
    </xf>
    <xf numFmtId="180" fontId="7" fillId="39" borderId="10" xfId="42" applyNumberFormat="1" applyFont="1" applyFill="1" applyBorder="1" applyAlignment="1">
      <alignment horizontal="center" vertical="center"/>
    </xf>
    <xf numFmtId="7" fontId="7" fillId="38" borderId="10" xfId="0" applyNumberFormat="1" applyFont="1" applyFill="1" applyBorder="1" applyAlignment="1">
      <alignment horizontal="center"/>
    </xf>
    <xf numFmtId="7" fontId="7" fillId="40" borderId="10" xfId="0" applyNumberFormat="1" applyFont="1" applyFill="1" applyBorder="1" applyAlignment="1">
      <alignment horizontal="center" vertical="center"/>
    </xf>
    <xf numFmtId="0" fontId="7" fillId="0" borderId="0" xfId="0" applyFont="1" applyFill="1" applyBorder="1" applyAlignment="1">
      <alignment/>
    </xf>
    <xf numFmtId="5" fontId="7" fillId="38" borderId="10" xfId="0" applyNumberFormat="1" applyFont="1" applyFill="1" applyBorder="1" applyAlignment="1">
      <alignment horizontal="center"/>
    </xf>
    <xf numFmtId="5" fontId="7" fillId="39" borderId="10" xfId="0" applyNumberFormat="1" applyFont="1" applyFill="1" applyBorder="1" applyAlignment="1">
      <alignment horizontal="center" vertical="center"/>
    </xf>
    <xf numFmtId="171" fontId="7" fillId="38" borderId="10" xfId="42" applyNumberFormat="1" applyFont="1" applyFill="1" applyBorder="1" applyAlignment="1">
      <alignment horizontal="center" vertical="center"/>
    </xf>
    <xf numFmtId="171" fontId="7" fillId="36" borderId="10" xfId="42" applyNumberFormat="1" applyFont="1" applyFill="1" applyBorder="1" applyAlignment="1">
      <alignment horizontal="center" vertical="center"/>
    </xf>
    <xf numFmtId="5" fontId="6" fillId="38" borderId="10" xfId="0" applyNumberFormat="1" applyFont="1" applyFill="1" applyBorder="1" applyAlignment="1">
      <alignment horizontal="center"/>
    </xf>
    <xf numFmtId="5" fontId="6" fillId="39" borderId="10" xfId="0" applyNumberFormat="1" applyFont="1" applyFill="1" applyBorder="1" applyAlignment="1">
      <alignment horizontal="center" vertical="center"/>
    </xf>
    <xf numFmtId="0" fontId="8" fillId="0" borderId="0" xfId="0" applyFont="1" applyAlignment="1" quotePrefix="1">
      <alignment horizontal="centerContinuous" vertical="center"/>
    </xf>
    <xf numFmtId="0" fontId="7" fillId="0" borderId="0" xfId="0" applyFont="1" applyAlignment="1">
      <alignment horizontal="centerContinuous"/>
    </xf>
    <xf numFmtId="0" fontId="6" fillId="0" borderId="10" xfId="0" applyFont="1" applyBorder="1" applyAlignment="1">
      <alignment horizontal="centerContinuous" vertical="center"/>
    </xf>
    <xf numFmtId="177" fontId="7" fillId="0" borderId="10" xfId="42" applyNumberFormat="1" applyFont="1" applyBorder="1" applyAlignment="1">
      <alignment horizontal="center" vertical="center"/>
    </xf>
    <xf numFmtId="176" fontId="7" fillId="0" borderId="10" xfId="42" applyNumberFormat="1" applyFont="1" applyBorder="1" applyAlignment="1">
      <alignment horizontal="center" vertical="center"/>
    </xf>
    <xf numFmtId="176" fontId="7" fillId="39" borderId="10" xfId="42" applyNumberFormat="1" applyFont="1" applyFill="1" applyBorder="1" applyAlignment="1">
      <alignment horizontal="center" vertical="center"/>
    </xf>
    <xf numFmtId="43" fontId="7" fillId="0" borderId="0" xfId="0" applyNumberFormat="1" applyFont="1" applyAlignment="1">
      <alignment/>
    </xf>
    <xf numFmtId="0" fontId="7" fillId="38" borderId="11" xfId="0" applyFont="1" applyFill="1" applyBorder="1" applyAlignment="1">
      <alignment vertical="center"/>
    </xf>
    <xf numFmtId="179" fontId="7" fillId="0" borderId="10" xfId="42" applyNumberFormat="1" applyFont="1" applyBorder="1" applyAlignment="1">
      <alignment horizontal="center" vertical="center"/>
    </xf>
    <xf numFmtId="179" fontId="7" fillId="39" borderId="10" xfId="42" applyNumberFormat="1" applyFont="1" applyFill="1" applyBorder="1" applyAlignment="1">
      <alignment horizontal="center" vertical="center"/>
    </xf>
    <xf numFmtId="171" fontId="7" fillId="38" borderId="10" xfId="0" applyNumberFormat="1" applyFont="1" applyFill="1" applyBorder="1" applyAlignment="1">
      <alignment horizontal="center"/>
    </xf>
    <xf numFmtId="171" fontId="7" fillId="36" borderId="10" xfId="0" applyNumberFormat="1" applyFont="1" applyFill="1" applyBorder="1" applyAlignment="1">
      <alignment horizontal="center" vertical="center"/>
    </xf>
    <xf numFmtId="0" fontId="24" fillId="0" borderId="11" xfId="0" applyFont="1" applyBorder="1" applyAlignment="1">
      <alignment/>
    </xf>
    <xf numFmtId="0" fontId="6" fillId="0" borderId="12" xfId="0" applyFont="1" applyBorder="1" applyAlignment="1">
      <alignment horizontal="center" vertical="center"/>
    </xf>
    <xf numFmtId="9" fontId="7" fillId="38" borderId="10" xfId="0" applyNumberFormat="1" applyFont="1" applyFill="1" applyBorder="1" applyAlignment="1">
      <alignment horizontal="center"/>
    </xf>
    <xf numFmtId="9" fontId="7" fillId="39" borderId="10" xfId="0" applyNumberFormat="1" applyFont="1" applyFill="1" applyBorder="1" applyAlignment="1">
      <alignment horizontal="center" vertical="center"/>
    </xf>
    <xf numFmtId="0" fontId="23" fillId="0" borderId="0" xfId="0" applyFont="1" applyAlignment="1">
      <alignment/>
    </xf>
    <xf numFmtId="0" fontId="77" fillId="0" borderId="0" xfId="0" applyFont="1" applyAlignment="1">
      <alignment/>
    </xf>
    <xf numFmtId="0" fontId="7" fillId="0" borderId="0" xfId="0" applyFont="1" applyAlignment="1">
      <alignment horizontal="center"/>
    </xf>
    <xf numFmtId="0" fontId="26" fillId="0" borderId="0" xfId="52" applyFont="1" applyAlignment="1" applyProtection="1">
      <alignment/>
      <protection/>
    </xf>
    <xf numFmtId="0" fontId="22" fillId="0" borderId="0" xfId="0" applyFont="1" applyAlignment="1">
      <alignment/>
    </xf>
    <xf numFmtId="0" fontId="25" fillId="0" borderId="0" xfId="0" applyFont="1" applyAlignment="1">
      <alignment/>
    </xf>
    <xf numFmtId="0" fontId="24" fillId="0" borderId="0" xfId="0" applyFont="1" applyAlignment="1">
      <alignment/>
    </xf>
    <xf numFmtId="0" fontId="7" fillId="37" borderId="10" xfId="0" applyFont="1" applyFill="1" applyBorder="1" applyAlignment="1">
      <alignment horizontal="center" vertical="center"/>
    </xf>
    <xf numFmtId="0" fontId="7" fillId="0" borderId="10" xfId="0" applyFont="1" applyBorder="1" applyAlignment="1">
      <alignment horizontal="center"/>
    </xf>
    <xf numFmtId="0" fontId="7" fillId="0" borderId="10" xfId="0" applyFont="1" applyBorder="1" applyAlignment="1">
      <alignment/>
    </xf>
    <xf numFmtId="0" fontId="7" fillId="36" borderId="13" xfId="0" applyFont="1" applyFill="1" applyBorder="1" applyAlignment="1">
      <alignment horizontal="center"/>
    </xf>
    <xf numFmtId="0" fontId="7" fillId="38" borderId="13" xfId="0" applyFont="1" applyFill="1" applyBorder="1" applyAlignment="1">
      <alignment horizontal="center"/>
    </xf>
    <xf numFmtId="0" fontId="7" fillId="0" borderId="19" xfId="0" applyFont="1" applyBorder="1" applyAlignment="1">
      <alignment horizontal="center"/>
    </xf>
    <xf numFmtId="3" fontId="7" fillId="36" borderId="20" xfId="0" applyNumberFormat="1" applyFont="1" applyFill="1" applyBorder="1" applyAlignment="1">
      <alignment horizontal="center"/>
    </xf>
    <xf numFmtId="0" fontId="7" fillId="0" borderId="10" xfId="0" applyFont="1" applyBorder="1" applyAlignment="1">
      <alignment horizontal="center" wrapText="1"/>
    </xf>
    <xf numFmtId="1" fontId="7" fillId="0" borderId="10" xfId="0" applyNumberFormat="1" applyFont="1" applyFill="1" applyBorder="1" applyAlignment="1">
      <alignment horizontal="center"/>
    </xf>
    <xf numFmtId="1" fontId="7" fillId="36" borderId="10" xfId="0" applyNumberFormat="1" applyFont="1" applyFill="1" applyBorder="1" applyAlignment="1">
      <alignment horizontal="center"/>
    </xf>
    <xf numFmtId="0" fontId="7" fillId="0" borderId="10" xfId="0" applyFont="1" applyBorder="1" applyAlignment="1">
      <alignment wrapText="1"/>
    </xf>
    <xf numFmtId="3" fontId="7" fillId="0" borderId="10" xfId="0" applyNumberFormat="1" applyFont="1" applyBorder="1" applyAlignment="1">
      <alignment horizontal="center"/>
    </xf>
    <xf numFmtId="1" fontId="7" fillId="0" borderId="10" xfId="0" applyNumberFormat="1" applyFont="1" applyBorder="1" applyAlignment="1">
      <alignment horizontal="center"/>
    </xf>
    <xf numFmtId="0" fontId="7" fillId="6" borderId="10" xfId="0" applyFont="1" applyFill="1" applyBorder="1" applyAlignment="1">
      <alignment horizontal="center" wrapText="1"/>
    </xf>
    <xf numFmtId="3" fontId="7" fillId="6" borderId="10" xfId="0" applyNumberFormat="1" applyFont="1" applyFill="1" applyBorder="1" applyAlignment="1">
      <alignment horizontal="center"/>
    </xf>
    <xf numFmtId="0" fontId="7" fillId="5" borderId="10" xfId="0" applyFont="1" applyFill="1" applyBorder="1" applyAlignment="1">
      <alignment horizontal="center" wrapText="1"/>
    </xf>
    <xf numFmtId="1" fontId="7" fillId="5" borderId="10" xfId="0" applyNumberFormat="1" applyFont="1" applyFill="1" applyBorder="1" applyAlignment="1">
      <alignment horizontal="center"/>
    </xf>
    <xf numFmtId="0" fontId="24" fillId="37" borderId="10" xfId="0" applyFont="1" applyFill="1" applyBorder="1" applyAlignment="1">
      <alignment horizontal="center" vertical="center"/>
    </xf>
    <xf numFmtId="3" fontId="7" fillId="39" borderId="10" xfId="0" applyNumberFormat="1" applyFont="1" applyFill="1" applyBorder="1" applyAlignment="1">
      <alignment horizontal="center"/>
    </xf>
    <xf numFmtId="0" fontId="27" fillId="0" borderId="0" xfId="0" applyFont="1" applyAlignment="1">
      <alignment/>
    </xf>
    <xf numFmtId="0" fontId="6" fillId="0" borderId="19" xfId="0" applyFont="1" applyBorder="1" applyAlignment="1">
      <alignment horizontal="center"/>
    </xf>
    <xf numFmtId="0" fontId="9" fillId="38" borderId="21" xfId="0" applyFont="1" applyFill="1" applyBorder="1" applyAlignment="1">
      <alignment horizontal="centerContinuous"/>
    </xf>
    <xf numFmtId="0" fontId="7" fillId="38" borderId="18" xfId="0" applyFont="1" applyFill="1" applyBorder="1" applyAlignment="1">
      <alignment horizontal="centerContinuous"/>
    </xf>
    <xf numFmtId="0" fontId="6" fillId="0" borderId="0" xfId="0" applyFont="1" applyAlignment="1">
      <alignment horizontal="center"/>
    </xf>
    <xf numFmtId="0" fontId="6" fillId="38" borderId="14" xfId="0" applyFont="1" applyFill="1" applyBorder="1" applyAlignment="1">
      <alignment horizontal="centerContinuous" vertical="top"/>
    </xf>
    <xf numFmtId="0" fontId="7" fillId="38" borderId="16" xfId="0" applyFont="1" applyFill="1" applyBorder="1" applyAlignment="1">
      <alignment horizontal="centerContinuous"/>
    </xf>
    <xf numFmtId="0" fontId="6" fillId="0" borderId="0" xfId="0" applyFont="1" applyAlignment="1">
      <alignment horizontal="center" vertical="top"/>
    </xf>
    <xf numFmtId="0" fontId="6" fillId="0" borderId="20" xfId="0" applyFont="1" applyBorder="1" applyAlignment="1">
      <alignment horizontal="center" vertical="top"/>
    </xf>
    <xf numFmtId="0" fontId="24" fillId="0" borderId="11" xfId="0" applyFont="1" applyBorder="1" applyAlignment="1">
      <alignment horizontal="centerContinuous"/>
    </xf>
    <xf numFmtId="164" fontId="7" fillId="0" borderId="0" xfId="0" applyNumberFormat="1" applyFont="1" applyAlignment="1">
      <alignment/>
    </xf>
    <xf numFmtId="0" fontId="7" fillId="0" borderId="0" xfId="0" applyFont="1" applyAlignment="1">
      <alignment/>
    </xf>
    <xf numFmtId="164" fontId="7" fillId="0" borderId="0" xfId="0" applyNumberFormat="1" applyFont="1" applyAlignment="1">
      <alignment vertical="center"/>
    </xf>
    <xf numFmtId="0" fontId="7" fillId="0" borderId="0" xfId="0" applyFont="1" applyFill="1" applyAlignment="1">
      <alignment vertical="center"/>
    </xf>
    <xf numFmtId="0" fontId="74" fillId="0" borderId="0" xfId="0" applyFont="1" applyFill="1" applyBorder="1" applyAlignment="1">
      <alignment horizontal="center" vertical="center"/>
    </xf>
    <xf numFmtId="164" fontId="7" fillId="0" borderId="0" xfId="0" applyNumberFormat="1" applyFont="1" applyFill="1" applyAlignment="1">
      <alignment/>
    </xf>
    <xf numFmtId="164" fontId="7" fillId="0" borderId="10" xfId="0" applyNumberFormat="1" applyFont="1" applyFill="1" applyBorder="1" applyAlignment="1">
      <alignment/>
    </xf>
    <xf numFmtId="0" fontId="7" fillId="0" borderId="0" xfId="0" applyFont="1" applyAlignment="1" quotePrefix="1">
      <alignment/>
    </xf>
    <xf numFmtId="0" fontId="7" fillId="0" borderId="0" xfId="0" applyNumberFormat="1" applyFont="1" applyAlignment="1">
      <alignment/>
    </xf>
    <xf numFmtId="165" fontId="7" fillId="0" borderId="10" xfId="0" applyNumberFormat="1" applyFont="1" applyFill="1" applyBorder="1" applyAlignment="1">
      <alignment/>
    </xf>
    <xf numFmtId="165" fontId="7" fillId="0" borderId="0" xfId="0" applyNumberFormat="1" applyFont="1" applyFill="1" applyBorder="1" applyAlignment="1">
      <alignment/>
    </xf>
    <xf numFmtId="164" fontId="7" fillId="0" borderId="0" xfId="0" applyNumberFormat="1" applyFont="1" applyFill="1" applyBorder="1" applyAlignment="1">
      <alignment/>
    </xf>
    <xf numFmtId="0" fontId="7" fillId="0" borderId="11" xfId="0" applyFont="1" applyBorder="1" applyAlignment="1">
      <alignment wrapText="1"/>
    </xf>
    <xf numFmtId="0" fontId="7" fillId="0" borderId="19" xfId="0" applyFont="1" applyBorder="1" applyAlignment="1">
      <alignment/>
    </xf>
    <xf numFmtId="0" fontId="7" fillId="0" borderId="13" xfId="0" applyFont="1" applyBorder="1" applyAlignment="1">
      <alignment wrapText="1"/>
    </xf>
    <xf numFmtId="0" fontId="7" fillId="0" borderId="11" xfId="0" applyFont="1" applyBorder="1" applyAlignment="1">
      <alignment horizontal="center"/>
    </xf>
    <xf numFmtId="3" fontId="7" fillId="0" borderId="13" xfId="0" applyNumberFormat="1" applyFont="1" applyBorder="1" applyAlignment="1">
      <alignment horizontal="center"/>
    </xf>
    <xf numFmtId="10" fontId="7" fillId="0" borderId="11" xfId="0" applyNumberFormat="1" applyFont="1" applyBorder="1" applyAlignment="1">
      <alignment horizontal="center"/>
    </xf>
    <xf numFmtId="4" fontId="7" fillId="0" borderId="18" xfId="0" applyNumberFormat="1" applyFont="1" applyBorder="1" applyAlignment="1">
      <alignment horizontal="center"/>
    </xf>
    <xf numFmtId="10" fontId="7" fillId="0" borderId="10" xfId="0" applyNumberFormat="1" applyFont="1" applyBorder="1" applyAlignment="1">
      <alignment horizontal="center"/>
    </xf>
    <xf numFmtId="4" fontId="7" fillId="0" borderId="14" xfId="0" applyNumberFormat="1" applyFont="1" applyBorder="1" applyAlignment="1">
      <alignment horizontal="center"/>
    </xf>
    <xf numFmtId="0" fontId="7" fillId="0" borderId="11" xfId="0" applyFont="1" applyBorder="1" applyAlignment="1">
      <alignment horizontal="centerContinuous"/>
    </xf>
    <xf numFmtId="0" fontId="7" fillId="0" borderId="13" xfId="0" applyFont="1" applyBorder="1" applyAlignment="1">
      <alignment horizontal="centerContinuous"/>
    </xf>
    <xf numFmtId="0" fontId="7" fillId="0" borderId="12" xfId="0" applyFont="1" applyBorder="1" applyAlignment="1">
      <alignment horizontal="centerContinuous"/>
    </xf>
    <xf numFmtId="0" fontId="7" fillId="0" borderId="22" xfId="0" applyFont="1" applyBorder="1" applyAlignment="1">
      <alignment horizontal="center" wrapText="1"/>
    </xf>
    <xf numFmtId="0" fontId="7" fillId="0" borderId="10" xfId="0" applyFont="1" applyFill="1" applyBorder="1" applyAlignment="1">
      <alignment horizontal="center" wrapText="1"/>
    </xf>
    <xf numFmtId="0" fontId="7" fillId="0" borderId="23" xfId="0" applyFont="1" applyFill="1" applyBorder="1" applyAlignment="1">
      <alignment horizontal="center"/>
    </xf>
    <xf numFmtId="169" fontId="7" fillId="0" borderId="10" xfId="0" applyNumberFormat="1" applyFont="1" applyBorder="1" applyAlignment="1">
      <alignment horizontal="center"/>
    </xf>
    <xf numFmtId="10" fontId="7" fillId="0" borderId="0" xfId="0" applyNumberFormat="1" applyFont="1" applyAlignment="1">
      <alignment/>
    </xf>
    <xf numFmtId="170" fontId="7" fillId="0" borderId="0" xfId="0" applyNumberFormat="1" applyFont="1" applyAlignment="1">
      <alignment/>
    </xf>
    <xf numFmtId="3" fontId="7" fillId="3" borderId="10" xfId="0" applyNumberFormat="1" applyFont="1" applyFill="1" applyBorder="1" applyAlignment="1">
      <alignment horizontal="center"/>
    </xf>
    <xf numFmtId="169" fontId="7" fillId="3" borderId="10" xfId="0" applyNumberFormat="1" applyFont="1" applyFill="1" applyBorder="1" applyAlignment="1">
      <alignment horizontal="center"/>
    </xf>
    <xf numFmtId="0" fontId="78" fillId="41" borderId="0" xfId="0" applyFont="1" applyFill="1" applyAlignment="1">
      <alignment/>
    </xf>
    <xf numFmtId="0" fontId="7" fillId="42" borderId="10" xfId="0" applyFont="1" applyFill="1" applyBorder="1" applyAlignment="1">
      <alignment horizontal="center"/>
    </xf>
    <xf numFmtId="0" fontId="7" fillId="42" borderId="11" xfId="0" applyFont="1" applyFill="1" applyBorder="1" applyAlignment="1">
      <alignment horizontal="center"/>
    </xf>
    <xf numFmtId="0" fontId="7" fillId="42" borderId="24" xfId="0" applyFont="1" applyFill="1" applyBorder="1" applyAlignment="1">
      <alignment horizontal="center"/>
    </xf>
    <xf numFmtId="3" fontId="7" fillId="42" borderId="13" xfId="0" applyNumberFormat="1" applyFont="1" applyFill="1" applyBorder="1" applyAlignment="1">
      <alignment horizontal="center"/>
    </xf>
    <xf numFmtId="3" fontId="7" fillId="42" borderId="10" xfId="0" applyNumberFormat="1" applyFont="1" applyFill="1" applyBorder="1" applyAlignment="1">
      <alignment horizontal="center"/>
    </xf>
    <xf numFmtId="1" fontId="7" fillId="42" borderId="10" xfId="0" applyNumberFormat="1" applyFont="1" applyFill="1" applyBorder="1" applyAlignment="1">
      <alignment horizontal="center"/>
    </xf>
    <xf numFmtId="10" fontId="7" fillId="42" borderId="10" xfId="0" applyNumberFormat="1" applyFont="1" applyFill="1" applyBorder="1" applyAlignment="1">
      <alignment horizontal="center"/>
    </xf>
    <xf numFmtId="169" fontId="7" fillId="42" borderId="10" xfId="0" applyNumberFormat="1" applyFont="1" applyFill="1" applyBorder="1" applyAlignment="1">
      <alignment horizontal="center"/>
    </xf>
    <xf numFmtId="0" fontId="7" fillId="36" borderId="11" xfId="0" applyFont="1" applyFill="1" applyBorder="1" applyAlignment="1">
      <alignment/>
    </xf>
    <xf numFmtId="0" fontId="7" fillId="36" borderId="13" xfId="0" applyFont="1" applyFill="1" applyBorder="1" applyAlignment="1">
      <alignment/>
    </xf>
    <xf numFmtId="0" fontId="7" fillId="36" borderId="12" xfId="0" applyFont="1" applyFill="1" applyBorder="1" applyAlignment="1">
      <alignment/>
    </xf>
    <xf numFmtId="0" fontId="7" fillId="36" borderId="25" xfId="0" applyFont="1" applyFill="1" applyBorder="1" applyAlignment="1">
      <alignment horizontal="center"/>
    </xf>
    <xf numFmtId="4" fontId="7" fillId="36" borderId="25" xfId="0" applyNumberFormat="1" applyFont="1" applyFill="1" applyBorder="1" applyAlignment="1">
      <alignment horizontal="center"/>
    </xf>
    <xf numFmtId="3" fontId="7" fillId="36" borderId="10" xfId="0" applyNumberFormat="1" applyFont="1" applyFill="1" applyBorder="1" applyAlignment="1">
      <alignment horizontal="center"/>
    </xf>
    <xf numFmtId="10" fontId="7" fillId="36" borderId="10" xfId="0" applyNumberFormat="1" applyFont="1" applyFill="1" applyBorder="1" applyAlignment="1">
      <alignment horizontal="center"/>
    </xf>
    <xf numFmtId="0" fontId="7" fillId="36" borderId="23" xfId="0" applyFont="1" applyFill="1" applyBorder="1" applyAlignment="1">
      <alignment horizontal="center"/>
    </xf>
    <xf numFmtId="2" fontId="7" fillId="36" borderId="23" xfId="0" applyNumberFormat="1" applyFont="1" applyFill="1" applyBorder="1" applyAlignment="1">
      <alignment horizontal="center"/>
    </xf>
    <xf numFmtId="169" fontId="7" fillId="34" borderId="10" xfId="0" applyNumberFormat="1" applyFont="1" applyFill="1" applyBorder="1" applyAlignment="1">
      <alignment horizontal="center"/>
    </xf>
    <xf numFmtId="0" fontId="7" fillId="34" borderId="23" xfId="0" applyFont="1" applyFill="1" applyBorder="1" applyAlignment="1">
      <alignment horizontal="center"/>
    </xf>
    <xf numFmtId="0" fontId="7" fillId="38" borderId="26" xfId="0" applyFont="1" applyFill="1" applyBorder="1" applyAlignment="1">
      <alignment horizontal="center"/>
    </xf>
    <xf numFmtId="0" fontId="16" fillId="0" borderId="20" xfId="0" applyFont="1" applyBorder="1" applyAlignment="1">
      <alignment horizontal="center"/>
    </xf>
    <xf numFmtId="0" fontId="7" fillId="37" borderId="12" xfId="0" applyFont="1" applyFill="1" applyBorder="1" applyAlignment="1">
      <alignment horizontal="center" vertical="center"/>
    </xf>
    <xf numFmtId="0" fontId="7" fillId="0" borderId="0" xfId="0" applyFont="1" applyAlignment="1">
      <alignment horizontal="center" vertical="center"/>
    </xf>
    <xf numFmtId="0" fontId="6" fillId="0" borderId="27" xfId="0" applyFont="1" applyBorder="1" applyAlignment="1">
      <alignment horizontal="left"/>
    </xf>
    <xf numFmtId="0" fontId="26" fillId="0" borderId="0" xfId="52" applyFont="1" applyAlignment="1" applyProtection="1">
      <alignment horizontal="left"/>
      <protection/>
    </xf>
    <xf numFmtId="44" fontId="79" fillId="43" borderId="17" xfId="36" applyNumberFormat="1" applyFont="1" applyFill="1" applyBorder="1" applyAlignment="1">
      <alignment horizontal="center" vertical="center"/>
    </xf>
    <xf numFmtId="44" fontId="75" fillId="43" borderId="0" xfId="36" applyNumberFormat="1" applyFont="1" applyFill="1" applyBorder="1" applyAlignment="1">
      <alignment horizontal="center" vertical="center"/>
    </xf>
    <xf numFmtId="44" fontId="75" fillId="43" borderId="15" xfId="36" applyNumberFormat="1" applyFont="1" applyFill="1" applyBorder="1" applyAlignment="1">
      <alignment horizontal="center" vertical="center"/>
    </xf>
    <xf numFmtId="0" fontId="6" fillId="0" borderId="19" xfId="0" applyNumberFormat="1" applyFont="1" applyBorder="1" applyAlignment="1">
      <alignment horizontal="center" vertical="center" wrapText="1"/>
    </xf>
    <xf numFmtId="0" fontId="6" fillId="0" borderId="20" xfId="0" applyNumberFormat="1" applyFont="1" applyBorder="1" applyAlignment="1">
      <alignment horizontal="center" vertical="center" wrapText="1"/>
    </xf>
    <xf numFmtId="0" fontId="6" fillId="0" borderId="19" xfId="0" applyFont="1" applyBorder="1" applyAlignment="1">
      <alignment horizontal="left" vertical="center" indent="1"/>
    </xf>
    <xf numFmtId="0" fontId="6" fillId="0" borderId="20" xfId="0" applyFont="1" applyBorder="1" applyAlignment="1">
      <alignment horizontal="left" vertical="center" indent="1"/>
    </xf>
    <xf numFmtId="0" fontId="72" fillId="33" borderId="0" xfId="0" applyFont="1" applyFill="1" applyAlignment="1">
      <alignment horizontal="center" vertical="center"/>
    </xf>
    <xf numFmtId="0" fontId="7" fillId="0" borderId="0" xfId="0" applyFont="1" applyAlignment="1">
      <alignment/>
    </xf>
    <xf numFmtId="0" fontId="10" fillId="43" borderId="17" xfId="0" applyFont="1" applyFill="1" applyBorder="1" applyAlignment="1">
      <alignment horizontal="center" vertical="top"/>
    </xf>
    <xf numFmtId="0" fontId="74" fillId="43" borderId="0" xfId="0" applyFont="1" applyFill="1" applyBorder="1" applyAlignment="1">
      <alignment horizontal="center" vertical="top"/>
    </xf>
    <xf numFmtId="0" fontId="74" fillId="43" borderId="15" xfId="0" applyFont="1" applyFill="1" applyBorder="1" applyAlignment="1">
      <alignment horizontal="center" vertical="top"/>
    </xf>
    <xf numFmtId="0" fontId="74" fillId="43" borderId="14" xfId="0" applyFont="1" applyFill="1" applyBorder="1" applyAlignment="1">
      <alignment horizontal="center" vertical="top"/>
    </xf>
    <xf numFmtId="0" fontId="74" fillId="43" borderId="28" xfId="0" applyFont="1" applyFill="1" applyBorder="1" applyAlignment="1">
      <alignment horizontal="center" vertical="top"/>
    </xf>
    <xf numFmtId="0" fontId="74" fillId="43" borderId="16" xfId="0" applyFont="1" applyFill="1" applyBorder="1" applyAlignment="1">
      <alignment horizontal="center" vertical="top"/>
    </xf>
    <xf numFmtId="0" fontId="80" fillId="43" borderId="17" xfId="0" applyFont="1" applyFill="1" applyBorder="1" applyAlignment="1">
      <alignment horizontal="center"/>
    </xf>
    <xf numFmtId="0" fontId="75" fillId="43" borderId="0" xfId="0" applyFont="1" applyFill="1" applyBorder="1" applyAlignment="1">
      <alignment horizontal="center"/>
    </xf>
    <xf numFmtId="0" fontId="75" fillId="43" borderId="15" xfId="0" applyFont="1" applyFill="1" applyBorder="1" applyAlignment="1">
      <alignment horizontal="center"/>
    </xf>
    <xf numFmtId="0" fontId="74" fillId="43" borderId="17" xfId="0" applyFont="1" applyFill="1" applyBorder="1" applyAlignment="1">
      <alignment horizontal="center" vertical="center"/>
    </xf>
    <xf numFmtId="0" fontId="74" fillId="43" borderId="0" xfId="0" applyFont="1" applyFill="1" applyBorder="1" applyAlignment="1">
      <alignment horizontal="center" vertical="center"/>
    </xf>
    <xf numFmtId="0" fontId="74" fillId="43" borderId="15" xfId="0" applyFont="1" applyFill="1" applyBorder="1" applyAlignment="1">
      <alignment horizontal="center" vertical="center"/>
    </xf>
    <xf numFmtId="0" fontId="74" fillId="43" borderId="17" xfId="0" applyFont="1" applyFill="1" applyBorder="1" applyAlignment="1">
      <alignment horizontal="center" vertical="top"/>
    </xf>
    <xf numFmtId="0" fontId="6" fillId="0" borderId="17" xfId="0" applyFont="1" applyBorder="1" applyAlignment="1">
      <alignment horizontal="center"/>
    </xf>
    <xf numFmtId="0" fontId="6" fillId="0" borderId="0" xfId="0" applyFont="1" applyBorder="1" applyAlignment="1">
      <alignment horizontal="center"/>
    </xf>
    <xf numFmtId="0" fontId="6" fillId="0" borderId="15" xfId="0" applyFont="1" applyBorder="1" applyAlignment="1">
      <alignment horizontal="center"/>
    </xf>
    <xf numFmtId="0" fontId="6" fillId="0" borderId="14" xfId="0" applyFont="1" applyBorder="1" applyAlignment="1">
      <alignment horizontal="center" vertical="top"/>
    </xf>
    <xf numFmtId="0" fontId="6" fillId="0" borderId="28" xfId="0" applyFont="1" applyBorder="1" applyAlignment="1">
      <alignment horizontal="center" vertical="top"/>
    </xf>
    <xf numFmtId="0" fontId="6" fillId="0" borderId="16" xfId="0" applyFont="1" applyBorder="1" applyAlignment="1">
      <alignment horizontal="center"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19050</xdr:rowOff>
    </xdr:from>
    <xdr:to>
      <xdr:col>2</xdr:col>
      <xdr:colOff>942975</xdr:colOff>
      <xdr:row>35</xdr:row>
      <xdr:rowOff>114300</xdr:rowOff>
    </xdr:to>
    <xdr:sp>
      <xdr:nvSpPr>
        <xdr:cNvPr id="1" name="TextBox 24"/>
        <xdr:cNvSpPr txBox="1">
          <a:spLocks noChangeArrowheads="1"/>
        </xdr:cNvSpPr>
      </xdr:nvSpPr>
      <xdr:spPr>
        <a:xfrm>
          <a:off x="9525" y="2038350"/>
          <a:ext cx="2571750" cy="4953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2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(2) </a:t>
          </a:r>
          <a:r>
            <a:rPr lang="en-US" cap="none" sz="1100" b="0" i="0" u="none" baseline="0">
              <a:solidFill>
                <a:srgbClr val="000000"/>
              </a:solidFill>
              <a:latin typeface="Calibri"/>
              <a:ea typeface="Calibri"/>
              <a:cs typeface="Calibri"/>
            </a:rPr>
            <a:t>Key in what you pay for that fuel in the </a:t>
          </a:r>
          <a:r>
            <a:rPr lang="en-US" cap="none" sz="1100" b="1" i="0" u="none" baseline="0">
              <a:solidFill>
                <a:srgbClr val="000000"/>
              </a:solidFill>
              <a:latin typeface="Calibri"/>
              <a:ea typeface="Calibri"/>
              <a:cs typeface="Calibri"/>
            </a:rPr>
            <a:t>orange box</a:t>
          </a:r>
          <a:r>
            <a:rPr lang="en-US" cap="none" sz="1100" b="1" i="0" u="none" baseline="0">
              <a:solidFill>
                <a:srgbClr val="FF9900"/>
              </a:solidFill>
              <a:latin typeface="Calibri"/>
              <a:ea typeface="Calibri"/>
              <a:cs typeface="Calibri"/>
            </a:rPr>
            <a:t> </a:t>
          </a:r>
          <a:r>
            <a:rPr lang="en-US" cap="none" sz="1100" b="0" i="0" u="none" baseline="0">
              <a:solidFill>
                <a:srgbClr val="000000"/>
              </a:solidFill>
              <a:latin typeface="Calibri"/>
              <a:ea typeface="Calibri"/>
              <a:cs typeface="Calibri"/>
            </a:rPr>
            <a:t>and Enter.</a:t>
          </a:r>
        </a:p>
      </xdr:txBody>
    </xdr:sp>
    <xdr:clientData/>
  </xdr:twoCellAnchor>
  <xdr:twoCellAnchor>
    <xdr:from>
      <xdr:col>1</xdr:col>
      <xdr:colOff>0</xdr:colOff>
      <xdr:row>35</xdr:row>
      <xdr:rowOff>104775</xdr:rowOff>
    </xdr:from>
    <xdr:to>
      <xdr:col>2</xdr:col>
      <xdr:colOff>942975</xdr:colOff>
      <xdr:row>43</xdr:row>
      <xdr:rowOff>19050</xdr:rowOff>
    </xdr:to>
    <xdr:sp>
      <xdr:nvSpPr>
        <xdr:cNvPr id="2" name="TextBox 31"/>
        <xdr:cNvSpPr txBox="1">
          <a:spLocks noChangeArrowheads="1"/>
        </xdr:cNvSpPr>
      </xdr:nvSpPr>
      <xdr:spPr>
        <a:xfrm>
          <a:off x="9525" y="2524125"/>
          <a:ext cx="2571750" cy="15144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2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(3) Heating value: </a:t>
          </a:r>
          <a:r>
            <a:rPr lang="en-US" cap="none" sz="1100" b="0" i="0" u="none" baseline="0">
              <a:solidFill>
                <a:srgbClr val="000000"/>
              </a:solidFill>
              <a:latin typeface="Calibri"/>
              <a:ea typeface="Calibri"/>
              <a:cs typeface="Calibri"/>
            </a:rPr>
            <a:t>See what you could pay for other fuels to obtain the equivalent value. It is probably available for far</a:t>
          </a:r>
          <a:r>
            <a:rPr lang="en-US" cap="none" sz="1100" b="0" i="0" u="none" baseline="0">
              <a:solidFill>
                <a:srgbClr val="000000"/>
              </a:solidFill>
              <a:latin typeface="Calibri"/>
              <a:ea typeface="Calibri"/>
              <a:cs typeface="Calibri"/>
            </a:rPr>
            <a:t> less. For a school, a new propane boiler might cost $500,000 and a wood boiler $1 million, but the energy cost might drop from $150,000/yr to $30,000/yr, and payback could be less than 5 years. </a:t>
          </a:r>
        </a:p>
      </xdr:txBody>
    </xdr:sp>
    <xdr:clientData/>
  </xdr:twoCellAnchor>
  <xdr:twoCellAnchor>
    <xdr:from>
      <xdr:col>1</xdr:col>
      <xdr:colOff>0</xdr:colOff>
      <xdr:row>43</xdr:row>
      <xdr:rowOff>19050</xdr:rowOff>
    </xdr:from>
    <xdr:to>
      <xdr:col>2</xdr:col>
      <xdr:colOff>942975</xdr:colOff>
      <xdr:row>55</xdr:row>
      <xdr:rowOff>114300</xdr:rowOff>
    </xdr:to>
    <xdr:sp>
      <xdr:nvSpPr>
        <xdr:cNvPr id="3" name="TextBox 51"/>
        <xdr:cNvSpPr txBox="1">
          <a:spLocks noChangeArrowheads="1"/>
        </xdr:cNvSpPr>
      </xdr:nvSpPr>
      <xdr:spPr>
        <a:xfrm>
          <a:off x="9525" y="4038600"/>
          <a:ext cx="2571750" cy="24955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1" i="1" u="none" baseline="0">
              <a:solidFill>
                <a:srgbClr val="000000"/>
              </a:solidFill>
              <a:latin typeface="Calibri"/>
              <a:ea typeface="Calibri"/>
              <a:cs typeface="Calibri"/>
            </a:rPr>
            <a:t>For fuels or Btu not</a:t>
          </a:r>
          <a:r>
            <a:rPr lang="en-US" cap="none" sz="1100" b="1" i="1" u="none" baseline="0">
              <a:solidFill>
                <a:srgbClr val="000000"/>
              </a:solidFill>
              <a:latin typeface="Calibri"/>
              <a:ea typeface="Calibri"/>
              <a:cs typeface="Calibri"/>
            </a:rPr>
            <a:t> listed
</a:t>
          </a:r>
          <a:r>
            <a:rPr lang="en-US" cap="none" sz="1100" b="1" i="1" u="none" baseline="0">
              <a:solidFill>
                <a:srgbClr val="000000"/>
              </a:solidFill>
              <a:latin typeface="Calibri"/>
              <a:ea typeface="Calibri"/>
              <a:cs typeface="Calibri"/>
            </a:rPr>
            <a:t>(4) </a:t>
          </a:r>
          <a:r>
            <a:rPr lang="en-US" cap="none" sz="1100" b="0" i="0" u="none" baseline="0">
              <a:solidFill>
                <a:srgbClr val="000000"/>
              </a:solidFill>
              <a:latin typeface="Calibri"/>
              <a:ea typeface="Calibri"/>
              <a:cs typeface="Calibri"/>
            </a:rPr>
            <a:t>Go to </a:t>
          </a:r>
          <a:r>
            <a:rPr lang="en-US" cap="none" sz="1100" b="1" i="0" u="none" baseline="0">
              <a:solidFill>
                <a:srgbClr val="000000"/>
              </a:solidFill>
              <a:latin typeface="Calibri"/>
              <a:ea typeface="Calibri"/>
              <a:cs typeface="Calibri"/>
            </a:rPr>
            <a:t>YourNewFuel using typical boiler efficiency</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and </a:t>
          </a:r>
          <a:r>
            <a:rPr lang="en-US" cap="none" sz="1100" b="0" i="0" u="none" baseline="0">
              <a:solidFill>
                <a:srgbClr val="000000"/>
              </a:solidFill>
              <a:latin typeface="Calibri"/>
              <a:ea typeface="Calibri"/>
              <a:cs typeface="Calibri"/>
            </a:rPr>
            <a:t>enter moisture</a:t>
          </a:r>
          <a:r>
            <a:rPr lang="en-US" cap="none" sz="1100" b="0" i="0" u="none" baseline="0">
              <a:solidFill>
                <a:srgbClr val="000000"/>
              </a:solidFill>
              <a:latin typeface="Calibri"/>
              <a:ea typeface="Calibri"/>
              <a:cs typeface="Calibri"/>
            </a:rPr>
            <a:t> content</a:t>
          </a:r>
          <a:r>
            <a:rPr lang="en-US" cap="none" sz="1100" b="0" i="0" u="none" baseline="0">
              <a:solidFill>
                <a:srgbClr val="000000"/>
              </a:solidFill>
              <a:latin typeface="Calibri"/>
              <a:ea typeface="Calibri"/>
              <a:cs typeface="Calibri"/>
            </a:rPr>
            <a:t> and Btu in the </a:t>
          </a:r>
          <a:r>
            <a:rPr lang="en-US" cap="none" sz="1100" b="1" i="0" u="none" baseline="0">
              <a:solidFill>
                <a:srgbClr val="000000"/>
              </a:solidFill>
              <a:latin typeface="Calibri"/>
              <a:ea typeface="Calibri"/>
              <a:cs typeface="Calibri"/>
            </a:rPr>
            <a:t>orange boxes.</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Then enter burning efficiency in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next </a:t>
          </a:r>
          <a:r>
            <a:rPr lang="en-US" cap="none" sz="1100" b="0" i="0" u="none" baseline="0">
              <a:solidFill>
                <a:srgbClr val="000000"/>
              </a:solidFill>
              <a:latin typeface="Calibri"/>
              <a:ea typeface="Calibri"/>
              <a:cs typeface="Calibri"/>
            </a:rPr>
            <a:t>line</a:t>
          </a:r>
          <a:r>
            <a:rPr lang="en-US" cap="none" sz="1100" b="0" i="0" u="none" baseline="0">
              <a:solidFill>
                <a:srgbClr val="FF6600"/>
              </a:solidFill>
              <a:latin typeface="Calibri"/>
              <a:ea typeface="Calibri"/>
              <a:cs typeface="Calibri"/>
            </a:rPr>
            <a:t> </a:t>
          </a:r>
          <a:r>
            <a:rPr lang="en-US" cap="none" sz="1100" b="1" i="0" u="none" baseline="0">
              <a:solidFill>
                <a:srgbClr val="000000"/>
              </a:solidFill>
              <a:latin typeface="Calibri"/>
              <a:ea typeface="Calibri"/>
              <a:cs typeface="Calibri"/>
            </a:rPr>
            <a:t>(orange box) </a:t>
          </a:r>
          <a:r>
            <a:rPr lang="en-US" cap="none" sz="1100" b="0" i="0" u="none" baseline="0">
              <a:solidFill>
                <a:srgbClr val="000000"/>
              </a:solidFill>
              <a:latin typeface="Calibri"/>
              <a:ea typeface="Calibri"/>
              <a:cs typeface="Calibri"/>
            </a:rPr>
            <a:t>and select that line       </a:t>
          </a:r>
          <a:r>
            <a:rPr lang="en-US" cap="none" sz="1100" b="1"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5</a:t>
          </a:r>
          <a:r>
            <a:rPr lang="en-US" cap="none" sz="1100" b="1" i="0" u="none" baseline="0">
              <a:solidFill>
                <a:srgbClr val="000000"/>
              </a:solidFill>
              <a:latin typeface="Calibri"/>
              <a:ea typeface="Calibri"/>
              <a:cs typeface="Calibri"/>
            </a:rPr>
            <a:t>) YourNewFuel using your efficiency" </a:t>
          </a:r>
          <a:r>
            <a:rPr lang="en-US" cap="none" sz="1100" b="0" i="0" u="none" baseline="0">
              <a:solidFill>
                <a:srgbClr val="000000"/>
              </a:solidFill>
              <a:latin typeface="Calibri"/>
              <a:ea typeface="Calibri"/>
              <a:cs typeface="Calibri"/>
            </a:rPr>
            <a:t>in the dropdown menu at</a:t>
          </a:r>
          <a:r>
            <a:rPr lang="en-US" cap="none" sz="1100" b="0" i="0" u="none" baseline="0">
              <a:solidFill>
                <a:srgbClr val="000000"/>
              </a:solidFill>
              <a:latin typeface="Calibri"/>
              <a:ea typeface="Calibri"/>
              <a:cs typeface="Calibri"/>
            </a:rPr>
            <a:t> the </a:t>
          </a:r>
          <a:r>
            <a:rPr lang="en-US" cap="none" sz="1100" b="0" i="0" u="none" baseline="0">
              <a:solidFill>
                <a:srgbClr val="000000"/>
              </a:solidFill>
              <a:latin typeface="Calibri"/>
              <a:ea typeface="Calibri"/>
              <a:cs typeface="Calibri"/>
            </a:rPr>
            <a:t>yellow box.  Then key in what you pay</a:t>
          </a:r>
          <a:r>
            <a:rPr lang="en-US" cap="none" sz="1100" b="0" i="0" u="none" baseline="0">
              <a:solidFill>
                <a:srgbClr val="000000"/>
              </a:solidFill>
              <a:latin typeface="Calibri"/>
              <a:ea typeface="Calibri"/>
              <a:cs typeface="Calibri"/>
            </a:rPr>
            <a:t> for that fuel.  </a:t>
          </a:r>
          <a:r>
            <a:rPr lang="en-US" cap="none" sz="1100" b="0" i="0" u="none" baseline="0">
              <a:solidFill>
                <a:srgbClr val="000000"/>
              </a:solidFill>
              <a:latin typeface="Calibri"/>
              <a:ea typeface="Calibri"/>
              <a:cs typeface="Calibri"/>
            </a:rPr>
            <a:t>There will be a small error if the fuel has a different hydrogen %; wood = 6.2%.</a:t>
          </a:r>
        </a:p>
      </xdr:txBody>
    </xdr:sp>
    <xdr:clientData/>
  </xdr:twoCellAnchor>
  <xdr:twoCellAnchor>
    <xdr:from>
      <xdr:col>1</xdr:col>
      <xdr:colOff>0</xdr:colOff>
      <xdr:row>29</xdr:row>
      <xdr:rowOff>257175</xdr:rowOff>
    </xdr:from>
    <xdr:to>
      <xdr:col>2</xdr:col>
      <xdr:colOff>942975</xdr:colOff>
      <xdr:row>33</xdr:row>
      <xdr:rowOff>28575</xdr:rowOff>
    </xdr:to>
    <xdr:sp>
      <xdr:nvSpPr>
        <xdr:cNvPr id="4" name="TextBox 27"/>
        <xdr:cNvSpPr txBox="1">
          <a:spLocks noChangeArrowheads="1"/>
        </xdr:cNvSpPr>
      </xdr:nvSpPr>
      <xdr:spPr>
        <a:xfrm>
          <a:off x="9525" y="1304925"/>
          <a:ext cx="2571750" cy="742950"/>
        </a:xfrm>
        <a:prstGeom prst="rect">
          <a:avLst/>
        </a:prstGeom>
        <a:solidFill>
          <a:srgbClr val="FFFF00"/>
        </a:solidFill>
        <a:ln w="12700" cmpd="sng">
          <a:solidFill>
            <a:srgbClr val="000000"/>
          </a:solidFill>
          <a:headEnd type="none"/>
          <a:tailEnd type="none"/>
        </a:ln>
      </xdr:spPr>
      <xdr:txBody>
        <a:bodyPr vertOverflow="clip" wrap="square"/>
        <a:p>
          <a:pPr algn="l">
            <a:defRPr/>
          </a:pPr>
          <a:r>
            <a:rPr lang="en-US" cap="none" sz="4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(1) </a:t>
          </a:r>
          <a:r>
            <a:rPr lang="en-US" cap="none" sz="1100" b="0" i="0" u="none" baseline="0">
              <a:solidFill>
                <a:srgbClr val="000000"/>
              </a:solidFill>
              <a:latin typeface="Calibri"/>
              <a:ea typeface="Calibri"/>
              <a:cs typeface="Calibri"/>
            </a:rPr>
            <a:t>Select the yellow box.</a:t>
          </a:r>
          <a:r>
            <a:rPr lang="en-US" cap="none" sz="1100" b="0" i="0" u="none" baseline="0">
              <a:solidFill>
                <a:srgbClr val="000000"/>
              </a:solidFill>
              <a:latin typeface="Calibri"/>
              <a:ea typeface="Calibri"/>
              <a:cs typeface="Calibri"/>
            </a:rPr>
            <a:t> A dropdown menu will appear. </a:t>
          </a:r>
          <a:r>
            <a:rPr lang="en-US" cap="none" sz="1100" b="0" i="0" u="none" baseline="0">
              <a:solidFill>
                <a:srgbClr val="000000"/>
              </a:solidFill>
              <a:latin typeface="Calibri"/>
              <a:ea typeface="Calibri"/>
              <a:cs typeface="Calibri"/>
            </a:rPr>
            <a:t>Select your current fuel from dropdown menu.</a:t>
          </a:r>
        </a:p>
      </xdr:txBody>
    </xdr:sp>
    <xdr:clientData/>
  </xdr:twoCellAnchor>
  <xdr:twoCellAnchor>
    <xdr:from>
      <xdr:col>1</xdr:col>
      <xdr:colOff>0</xdr:colOff>
      <xdr:row>2</xdr:row>
      <xdr:rowOff>266700</xdr:rowOff>
    </xdr:from>
    <xdr:to>
      <xdr:col>2</xdr:col>
      <xdr:colOff>942975</xdr:colOff>
      <xdr:row>28</xdr:row>
      <xdr:rowOff>266700</xdr:rowOff>
    </xdr:to>
    <xdr:sp>
      <xdr:nvSpPr>
        <xdr:cNvPr id="5" name="TextBox 3"/>
        <xdr:cNvSpPr txBox="1">
          <a:spLocks noChangeArrowheads="1"/>
        </xdr:cNvSpPr>
      </xdr:nvSpPr>
      <xdr:spPr>
        <a:xfrm>
          <a:off x="9525" y="781050"/>
          <a:ext cx="2571750" cy="266700"/>
        </a:xfrm>
        <a:prstGeom prst="rect">
          <a:avLst/>
        </a:prstGeom>
        <a:solidFill>
          <a:srgbClr val="000000"/>
        </a:solidFill>
        <a:ln w="1270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rPr>
            <a:t>Instructions</a:t>
          </a:r>
        </a:p>
      </xdr:txBody>
    </xdr:sp>
    <xdr:clientData/>
  </xdr:twoCellAnchor>
  <xdr:twoCellAnchor>
    <xdr:from>
      <xdr:col>1</xdr:col>
      <xdr:colOff>0</xdr:colOff>
      <xdr:row>28</xdr:row>
      <xdr:rowOff>247650</xdr:rowOff>
    </xdr:from>
    <xdr:to>
      <xdr:col>2</xdr:col>
      <xdr:colOff>942975</xdr:colOff>
      <xdr:row>29</xdr:row>
      <xdr:rowOff>295275</xdr:rowOff>
    </xdr:to>
    <xdr:sp>
      <xdr:nvSpPr>
        <xdr:cNvPr id="6" name="TextBox 21"/>
        <xdr:cNvSpPr txBox="1">
          <a:spLocks noChangeArrowheads="1"/>
        </xdr:cNvSpPr>
      </xdr:nvSpPr>
      <xdr:spPr>
        <a:xfrm>
          <a:off x="9525" y="1028700"/>
          <a:ext cx="2571750" cy="314325"/>
        </a:xfrm>
        <a:prstGeom prst="rect">
          <a:avLst/>
        </a:prstGeom>
        <a:solidFill>
          <a:srgbClr val="FF9933"/>
        </a:solidFill>
        <a:ln w="127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Only change values in orange boxes</a:t>
          </a:r>
        </a:p>
      </xdr:txBody>
    </xdr:sp>
    <xdr:clientData/>
  </xdr:twoCellAnchor>
  <xdr:twoCellAnchor>
    <xdr:from>
      <xdr:col>9</xdr:col>
      <xdr:colOff>647700</xdr:colOff>
      <xdr:row>33</xdr:row>
      <xdr:rowOff>123825</xdr:rowOff>
    </xdr:from>
    <xdr:to>
      <xdr:col>10</xdr:col>
      <xdr:colOff>409575</xdr:colOff>
      <xdr:row>33</xdr:row>
      <xdr:rowOff>123825</xdr:rowOff>
    </xdr:to>
    <xdr:sp>
      <xdr:nvSpPr>
        <xdr:cNvPr id="7" name="Straight Arrow Connector 9"/>
        <xdr:cNvSpPr>
          <a:spLocks/>
        </xdr:cNvSpPr>
      </xdr:nvSpPr>
      <xdr:spPr>
        <a:xfrm flipH="1">
          <a:off x="9591675" y="2143125"/>
          <a:ext cx="609600" cy="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647700</xdr:colOff>
      <xdr:row>34</xdr:row>
      <xdr:rowOff>104775</xdr:rowOff>
    </xdr:from>
    <xdr:to>
      <xdr:col>10</xdr:col>
      <xdr:colOff>419100</xdr:colOff>
      <xdr:row>34</xdr:row>
      <xdr:rowOff>104775</xdr:rowOff>
    </xdr:to>
    <xdr:sp>
      <xdr:nvSpPr>
        <xdr:cNvPr id="8" name="Straight Arrow Connector 18"/>
        <xdr:cNvSpPr>
          <a:spLocks/>
        </xdr:cNvSpPr>
      </xdr:nvSpPr>
      <xdr:spPr>
        <a:xfrm flipH="1">
          <a:off x="9591675" y="2324100"/>
          <a:ext cx="619125" cy="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657225</xdr:colOff>
      <xdr:row>35</xdr:row>
      <xdr:rowOff>104775</xdr:rowOff>
    </xdr:from>
    <xdr:to>
      <xdr:col>10</xdr:col>
      <xdr:colOff>419100</xdr:colOff>
      <xdr:row>35</xdr:row>
      <xdr:rowOff>104775</xdr:rowOff>
    </xdr:to>
    <xdr:sp>
      <xdr:nvSpPr>
        <xdr:cNvPr id="9" name="Straight Arrow Connector 19"/>
        <xdr:cNvSpPr>
          <a:spLocks/>
        </xdr:cNvSpPr>
      </xdr:nvSpPr>
      <xdr:spPr>
        <a:xfrm flipH="1">
          <a:off x="9601200" y="2524125"/>
          <a:ext cx="609600" cy="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657225</xdr:colOff>
      <xdr:row>35</xdr:row>
      <xdr:rowOff>28575</xdr:rowOff>
    </xdr:from>
    <xdr:to>
      <xdr:col>11</xdr:col>
      <xdr:colOff>47625</xdr:colOff>
      <xdr:row>39</xdr:row>
      <xdr:rowOff>95250</xdr:rowOff>
    </xdr:to>
    <xdr:sp>
      <xdr:nvSpPr>
        <xdr:cNvPr id="10" name="Elbow Connector 12"/>
        <xdr:cNvSpPr>
          <a:spLocks/>
        </xdr:cNvSpPr>
      </xdr:nvSpPr>
      <xdr:spPr>
        <a:xfrm rot="10800000" flipV="1">
          <a:off x="9601200" y="2447925"/>
          <a:ext cx="1000125" cy="866775"/>
        </a:xfrm>
        <a:prstGeom prst="bentConnector3">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2809875</xdr:colOff>
      <xdr:row>30</xdr:row>
      <xdr:rowOff>142875</xdr:rowOff>
    </xdr:from>
    <xdr:to>
      <xdr:col>6</xdr:col>
      <xdr:colOff>38100</xdr:colOff>
      <xdr:row>30</xdr:row>
      <xdr:rowOff>142875</xdr:rowOff>
    </xdr:to>
    <xdr:sp>
      <xdr:nvSpPr>
        <xdr:cNvPr id="11" name="Straight Arrow Connector 28"/>
        <xdr:cNvSpPr>
          <a:spLocks/>
        </xdr:cNvSpPr>
      </xdr:nvSpPr>
      <xdr:spPr>
        <a:xfrm flipV="1">
          <a:off x="5429250" y="1485900"/>
          <a:ext cx="1838325" cy="0"/>
        </a:xfrm>
        <a:prstGeom prst="straightConnector1">
          <a:avLst/>
        </a:prstGeom>
        <a:noFill/>
        <a:ln w="12700"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11</xdr:col>
      <xdr:colOff>200025</xdr:colOff>
      <xdr:row>41</xdr:row>
      <xdr:rowOff>28575</xdr:rowOff>
    </xdr:from>
    <xdr:ext cx="180975" cy="266700"/>
    <xdr:sp fLocksText="0">
      <xdr:nvSpPr>
        <xdr:cNvPr id="12" name="TextBox 4"/>
        <xdr:cNvSpPr txBox="1">
          <a:spLocks noChangeArrowheads="1"/>
        </xdr:cNvSpPr>
      </xdr:nvSpPr>
      <xdr:spPr>
        <a:xfrm>
          <a:off x="10753725" y="36480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2</xdr:col>
      <xdr:colOff>952500</xdr:colOff>
      <xdr:row>0</xdr:row>
      <xdr:rowOff>57150</xdr:rowOff>
    </xdr:from>
    <xdr:to>
      <xdr:col>3</xdr:col>
      <xdr:colOff>781050</xdr:colOff>
      <xdr:row>2</xdr:row>
      <xdr:rowOff>47625</xdr:rowOff>
    </xdr:to>
    <xdr:pic>
      <xdr:nvPicPr>
        <xdr:cNvPr id="13" name="Picture 5"/>
        <xdr:cNvPicPr preferRelativeResize="1">
          <a:picLocks noChangeAspect="1"/>
        </xdr:cNvPicPr>
      </xdr:nvPicPr>
      <xdr:blipFill>
        <a:blip r:embed="rId1"/>
        <a:stretch>
          <a:fillRect/>
        </a:stretch>
      </xdr:blipFill>
      <xdr:spPr>
        <a:xfrm>
          <a:off x="2590800" y="57150"/>
          <a:ext cx="809625" cy="504825"/>
        </a:xfrm>
        <a:prstGeom prst="rect">
          <a:avLst/>
        </a:prstGeom>
        <a:noFill/>
        <a:ln w="9525" cmpd="sng">
          <a:noFill/>
        </a:ln>
      </xdr:spPr>
    </xdr:pic>
    <xdr:clientData/>
  </xdr:twoCellAnchor>
  <xdr:twoCellAnchor editAs="oneCell">
    <xdr:from>
      <xdr:col>9</xdr:col>
      <xdr:colOff>219075</xdr:colOff>
      <xdr:row>0</xdr:row>
      <xdr:rowOff>28575</xdr:rowOff>
    </xdr:from>
    <xdr:to>
      <xdr:col>9</xdr:col>
      <xdr:colOff>781050</xdr:colOff>
      <xdr:row>2</xdr:row>
      <xdr:rowOff>104775</xdr:rowOff>
    </xdr:to>
    <xdr:pic>
      <xdr:nvPicPr>
        <xdr:cNvPr id="14" name="Picture 7"/>
        <xdr:cNvPicPr preferRelativeResize="1">
          <a:picLocks noChangeAspect="1"/>
        </xdr:cNvPicPr>
      </xdr:nvPicPr>
      <xdr:blipFill>
        <a:blip r:embed="rId2"/>
        <a:stretch>
          <a:fillRect/>
        </a:stretch>
      </xdr:blipFill>
      <xdr:spPr>
        <a:xfrm>
          <a:off x="9163050" y="28575"/>
          <a:ext cx="561975" cy="590550"/>
        </a:xfrm>
        <a:prstGeom prst="rect">
          <a:avLst/>
        </a:prstGeom>
        <a:noFill/>
        <a:ln w="9525" cmpd="sng">
          <a:noFill/>
        </a:ln>
      </xdr:spPr>
    </xdr:pic>
    <xdr:clientData/>
  </xdr:twoCellAnchor>
  <xdr:twoCellAnchor>
    <xdr:from>
      <xdr:col>10</xdr:col>
      <xdr:colOff>66675</xdr:colOff>
      <xdr:row>41</xdr:row>
      <xdr:rowOff>9525</xdr:rowOff>
    </xdr:from>
    <xdr:to>
      <xdr:col>14</xdr:col>
      <xdr:colOff>95250</xdr:colOff>
      <xdr:row>54</xdr:row>
      <xdr:rowOff>28575</xdr:rowOff>
    </xdr:to>
    <xdr:sp>
      <xdr:nvSpPr>
        <xdr:cNvPr id="15" name="TextBox 1"/>
        <xdr:cNvSpPr txBox="1">
          <a:spLocks noChangeArrowheads="1"/>
        </xdr:cNvSpPr>
      </xdr:nvSpPr>
      <xdr:spPr>
        <a:xfrm>
          <a:off x="9858375" y="3629025"/>
          <a:ext cx="2476500" cy="2619375"/>
        </a:xfrm>
        <a:prstGeom prst="rect">
          <a:avLst/>
        </a:prstGeom>
        <a:solidFill>
          <a:srgbClr val="FFFFFF"/>
        </a:solidFill>
        <a:ln w="1270" cmpd="sng">
          <a:noFill/>
        </a:ln>
      </xdr:spPr>
      <xdr:txBody>
        <a:bodyPr vertOverflow="clip" wrap="square"/>
        <a:p>
          <a:pPr algn="l">
            <a:defRPr/>
          </a:pPr>
          <a:r>
            <a:rPr lang="en-US" cap="none" sz="1100" b="0" i="0" u="none" baseline="0">
              <a:solidFill>
                <a:srgbClr val="000000"/>
              </a:solidFill>
              <a:latin typeface="Calibri"/>
              <a:ea typeface="Calibri"/>
              <a:cs typeface="Calibri"/>
            </a:rPr>
            <a:t>For residential stoves, the EPA default values for efficiency are: 
</a:t>
          </a:r>
          <a:r>
            <a:rPr lang="en-US" cap="none" sz="1100" b="0" i="0" u="none" baseline="0">
              <a:solidFill>
                <a:srgbClr val="000000"/>
              </a:solidFill>
              <a:latin typeface="Calibri"/>
              <a:ea typeface="Calibri"/>
              <a:cs typeface="Calibri"/>
            </a:rPr>
            <a:t>• 63% for basic stoves  
</a:t>
          </a:r>
          <a:r>
            <a:rPr lang="en-US" cap="none" sz="1100" b="0" i="0" u="none" baseline="0">
              <a:solidFill>
                <a:srgbClr val="000000"/>
              </a:solidFill>
              <a:latin typeface="Calibri"/>
              <a:ea typeface="Calibri"/>
              <a:cs typeface="Calibri"/>
            </a:rPr>
            <a:t>• 72% for stoves with catalytic converters. At least one model is available for less than $2,000.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(Old stoves and outdoor wood boilers can have much lower efficiencies.)
</a:t>
          </a:r>
          <a:r>
            <a:rPr lang="en-US" cap="none" sz="1100" b="0" i="0" u="none" baseline="0">
              <a:solidFill>
                <a:srgbClr val="000000"/>
              </a:solidFill>
              <a:latin typeface="Calibri"/>
              <a:ea typeface="Calibri"/>
              <a:cs typeface="Calibri"/>
            </a:rPr>
            <a:t>• 78% for EPA-certified pellet stoves. 
</a:t>
          </a:r>
          <a:r>
            <a:rPr lang="en-US" cap="none" sz="1100" b="0" i="0" u="none" baseline="0">
              <a:solidFill>
                <a:srgbClr val="000000"/>
              </a:solidFill>
              <a:latin typeface="Calibri"/>
              <a:ea typeface="Calibri"/>
              <a:cs typeface="Calibri"/>
            </a:rPr>
            <a:t>• Uncertified</a:t>
          </a:r>
          <a:r>
            <a:rPr lang="en-US" cap="none" sz="1100" b="0" i="0" u="none" baseline="0">
              <a:solidFill>
                <a:srgbClr val="000000"/>
              </a:solidFill>
              <a:latin typeface="Calibri"/>
              <a:ea typeface="Calibri"/>
              <a:cs typeface="Calibri"/>
            </a:rPr>
            <a:t> pellet stoves = 65% efficient.
</a:t>
          </a:r>
          <a:r>
            <a:rPr lang="en-US" cap="none" sz="1050" b="1" i="0" u="none" baseline="0">
              <a:solidFill>
                <a:srgbClr val="DD0806"/>
              </a:solidFill>
              <a:latin typeface="Calibri"/>
              <a:ea typeface="Calibri"/>
              <a:cs typeface="Calibri"/>
            </a:rPr>
            <a:t>
</a:t>
          </a:r>
          <a:r>
            <a:rPr lang="en-US" cap="none" sz="1050" b="1" i="0" u="none" baseline="0">
              <a:solidFill>
                <a:srgbClr val="DD0806"/>
              </a:solidFill>
              <a:latin typeface="Calibri"/>
              <a:ea typeface="Calibri"/>
              <a:cs typeface="Calibri"/>
            </a:rPr>
            <a:t>Hover over cells with red triangle
</a:t>
          </a:r>
          <a:r>
            <a:rPr lang="en-US" cap="none" sz="1050" b="1" i="0" u="none" baseline="0">
              <a:solidFill>
                <a:srgbClr val="DD0806"/>
              </a:solidFill>
              <a:latin typeface="Calibri"/>
              <a:ea typeface="Calibri"/>
              <a:cs typeface="Calibri"/>
            </a:rPr>
            <a:t>in right corner for more information.</a:t>
          </a:r>
        </a:p>
      </xdr:txBody>
    </xdr:sp>
    <xdr:clientData/>
  </xdr:twoCellAnchor>
  <xdr:twoCellAnchor>
    <xdr:from>
      <xdr:col>9</xdr:col>
      <xdr:colOff>647700</xdr:colOff>
      <xdr:row>35</xdr:row>
      <xdr:rowOff>104775</xdr:rowOff>
    </xdr:from>
    <xdr:to>
      <xdr:col>10</xdr:col>
      <xdr:colOff>419100</xdr:colOff>
      <xdr:row>35</xdr:row>
      <xdr:rowOff>104775</xdr:rowOff>
    </xdr:to>
    <xdr:sp>
      <xdr:nvSpPr>
        <xdr:cNvPr id="16" name="Straight Arrow Connector 22"/>
        <xdr:cNvSpPr>
          <a:spLocks/>
        </xdr:cNvSpPr>
      </xdr:nvSpPr>
      <xdr:spPr>
        <a:xfrm flipH="1">
          <a:off x="9591675" y="2524125"/>
          <a:ext cx="619125" cy="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180975</xdr:colOff>
      <xdr:row>31</xdr:row>
      <xdr:rowOff>133350</xdr:rowOff>
    </xdr:from>
    <xdr:to>
      <xdr:col>13</xdr:col>
      <xdr:colOff>161925</xdr:colOff>
      <xdr:row>36</xdr:row>
      <xdr:rowOff>19050</xdr:rowOff>
    </xdr:to>
    <xdr:sp>
      <xdr:nvSpPr>
        <xdr:cNvPr id="17" name="TextBox 2"/>
        <xdr:cNvSpPr txBox="1">
          <a:spLocks noChangeArrowheads="1"/>
        </xdr:cNvSpPr>
      </xdr:nvSpPr>
      <xdr:spPr>
        <a:xfrm>
          <a:off x="9972675" y="1752600"/>
          <a:ext cx="1838325" cy="885825"/>
        </a:xfrm>
        <a:prstGeom prst="rect">
          <a:avLst/>
        </a:prstGeom>
        <a:solidFill>
          <a:srgbClr val="ECEDD1"/>
        </a:solidFill>
        <a:ln w="31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These efficiency differences are because of</a:t>
          </a:r>
          <a:r>
            <a:rPr lang="en-US" cap="none" sz="1100" b="0" i="0" u="none" baseline="0">
              <a:solidFill>
                <a:srgbClr val="000000"/>
              </a:solidFill>
              <a:latin typeface="Calibri"/>
              <a:ea typeface="Calibri"/>
              <a:cs typeface="Calibri"/>
            </a:rPr>
            <a:t> moisture. They would all be the same and very high for a condensing stove.</a:t>
          </a:r>
        </a:p>
      </xdr:txBody>
    </xdr:sp>
    <xdr:clientData/>
  </xdr:twoCellAnchor>
  <xdr:twoCellAnchor>
    <xdr:from>
      <xdr:col>1</xdr:col>
      <xdr:colOff>257175</xdr:colOff>
      <xdr:row>0</xdr:row>
      <xdr:rowOff>38100</xdr:rowOff>
    </xdr:from>
    <xdr:to>
      <xdr:col>2</xdr:col>
      <xdr:colOff>114300</xdr:colOff>
      <xdr:row>2</xdr:row>
      <xdr:rowOff>190500</xdr:rowOff>
    </xdr:to>
    <xdr:sp>
      <xdr:nvSpPr>
        <xdr:cNvPr id="18" name="TextBox 20"/>
        <xdr:cNvSpPr txBox="1">
          <a:spLocks noChangeArrowheads="1"/>
        </xdr:cNvSpPr>
      </xdr:nvSpPr>
      <xdr:spPr>
        <a:xfrm>
          <a:off x="266700" y="38100"/>
          <a:ext cx="1485900" cy="666750"/>
        </a:xfrm>
        <a:prstGeom prst="rect">
          <a:avLst/>
        </a:prstGeom>
        <a:solidFill>
          <a:srgbClr val="66FFFF"/>
        </a:solidFill>
        <a:ln w="9525" cmpd="sng">
          <a:solidFill>
            <a:srgbClr val="000000"/>
          </a:solidFill>
          <a:headEnd type="none"/>
          <a:tailEnd type="none"/>
        </a:ln>
      </xdr:spPr>
      <xdr:txBody>
        <a:bodyPr vertOverflow="clip" wrap="square"/>
        <a:p>
          <a:pPr algn="l">
            <a:defRPr/>
          </a:pPr>
          <a:r>
            <a:rPr lang="en-US" cap="none" sz="1100" b="0" i="1" u="none" baseline="0">
              <a:solidFill>
                <a:srgbClr val="000000"/>
              </a:solidFill>
            </a:rPr>
            <a:t>Use tabs at bottom left to switch between Fuel and Power calculators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0</xdr:row>
      <xdr:rowOff>95250</xdr:rowOff>
    </xdr:from>
    <xdr:to>
      <xdr:col>3</xdr:col>
      <xdr:colOff>9525</xdr:colOff>
      <xdr:row>2</xdr:row>
      <xdr:rowOff>19050</xdr:rowOff>
    </xdr:to>
    <xdr:pic>
      <xdr:nvPicPr>
        <xdr:cNvPr id="1" name="Picture 5"/>
        <xdr:cNvPicPr preferRelativeResize="1">
          <a:picLocks noChangeAspect="1"/>
        </xdr:cNvPicPr>
      </xdr:nvPicPr>
      <xdr:blipFill>
        <a:blip r:embed="rId1"/>
        <a:stretch>
          <a:fillRect/>
        </a:stretch>
      </xdr:blipFill>
      <xdr:spPr>
        <a:xfrm>
          <a:off x="3200400" y="95250"/>
          <a:ext cx="771525" cy="438150"/>
        </a:xfrm>
        <a:prstGeom prst="rect">
          <a:avLst/>
        </a:prstGeom>
        <a:noFill/>
        <a:ln w="9525" cmpd="sng">
          <a:noFill/>
        </a:ln>
      </xdr:spPr>
    </xdr:pic>
    <xdr:clientData/>
  </xdr:twoCellAnchor>
  <xdr:twoCellAnchor editAs="oneCell">
    <xdr:from>
      <xdr:col>6</xdr:col>
      <xdr:colOff>1390650</xdr:colOff>
      <xdr:row>0</xdr:row>
      <xdr:rowOff>47625</xdr:rowOff>
    </xdr:from>
    <xdr:to>
      <xdr:col>6</xdr:col>
      <xdr:colOff>1866900</xdr:colOff>
      <xdr:row>2</xdr:row>
      <xdr:rowOff>28575</xdr:rowOff>
    </xdr:to>
    <xdr:pic>
      <xdr:nvPicPr>
        <xdr:cNvPr id="2" name="Picture 7"/>
        <xdr:cNvPicPr preferRelativeResize="1">
          <a:picLocks noChangeAspect="1"/>
        </xdr:cNvPicPr>
      </xdr:nvPicPr>
      <xdr:blipFill>
        <a:blip r:embed="rId2"/>
        <a:stretch>
          <a:fillRect/>
        </a:stretch>
      </xdr:blipFill>
      <xdr:spPr>
        <a:xfrm>
          <a:off x="10029825" y="47625"/>
          <a:ext cx="476250" cy="495300"/>
        </a:xfrm>
        <a:prstGeom prst="rect">
          <a:avLst/>
        </a:prstGeom>
        <a:noFill/>
        <a:ln w="9525" cmpd="sng">
          <a:noFill/>
        </a:ln>
      </xdr:spPr>
    </xdr:pic>
    <xdr:clientData/>
  </xdr:twoCellAnchor>
  <xdr:twoCellAnchor>
    <xdr:from>
      <xdr:col>7</xdr:col>
      <xdr:colOff>28575</xdr:colOff>
      <xdr:row>6</xdr:row>
      <xdr:rowOff>19050</xdr:rowOff>
    </xdr:from>
    <xdr:to>
      <xdr:col>8</xdr:col>
      <xdr:colOff>1171575</xdr:colOff>
      <xdr:row>15</xdr:row>
      <xdr:rowOff>180975</xdr:rowOff>
    </xdr:to>
    <xdr:sp>
      <xdr:nvSpPr>
        <xdr:cNvPr id="3" name="TextBox 1"/>
        <xdr:cNvSpPr txBox="1">
          <a:spLocks noChangeArrowheads="1"/>
        </xdr:cNvSpPr>
      </xdr:nvSpPr>
      <xdr:spPr>
        <a:xfrm>
          <a:off x="10582275" y="1428750"/>
          <a:ext cx="2133600"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D4"/>
              </a:solidFill>
              <a:latin typeface="Calibri"/>
              <a:ea typeface="Calibri"/>
              <a:cs typeface="Calibri"/>
            </a:rPr>
            <a:t>Your Example
</a:t>
          </a:r>
          <a:r>
            <a:rPr lang="en-US" cap="none" sz="1100" b="0" i="0" u="none" baseline="0">
              <a:solidFill>
                <a:srgbClr val="000000"/>
              </a:solidFill>
              <a:latin typeface="Calibri"/>
              <a:ea typeface="Calibri"/>
              <a:cs typeface="Calibri"/>
            </a:rPr>
            <a:t>Enter your values in the </a:t>
          </a:r>
          <a:r>
            <a:rPr lang="en-US" cap="none" sz="1100" b="1" i="0" u="none" baseline="0">
              <a:solidFill>
                <a:srgbClr val="000000"/>
              </a:solidFill>
              <a:latin typeface="Calibri"/>
              <a:ea typeface="Calibri"/>
              <a:cs typeface="Calibri"/>
            </a:rPr>
            <a:t>orange boxes</a:t>
          </a:r>
          <a:r>
            <a:rPr lang="en-US" cap="none" sz="1100" b="0" i="0" u="none" baseline="0">
              <a:solidFill>
                <a:srgbClr val="000000"/>
              </a:solidFill>
              <a:latin typeface="Calibri"/>
              <a:ea typeface="Calibri"/>
              <a:cs typeface="Calibri"/>
            </a:rPr>
            <a:t>, and the computed</a:t>
          </a:r>
          <a:r>
            <a:rPr lang="en-US" cap="none" sz="1100" b="0" i="0" u="none" baseline="0">
              <a:solidFill>
                <a:srgbClr val="000000"/>
              </a:solidFill>
              <a:latin typeface="Calibri"/>
              <a:ea typeface="Calibri"/>
              <a:cs typeface="Calibri"/>
            </a:rPr>
            <a:t> answers will appear in the </a:t>
          </a:r>
          <a:r>
            <a:rPr lang="en-US" cap="none" sz="1100" b="1" i="0" u="none" baseline="0">
              <a:solidFill>
                <a:srgbClr val="000000"/>
              </a:solidFill>
              <a:latin typeface="Calibri"/>
              <a:ea typeface="Calibri"/>
              <a:cs typeface="Calibri"/>
            </a:rPr>
            <a:t>light blue</a:t>
          </a:r>
          <a:r>
            <a:rPr lang="en-US" cap="none" sz="1100" b="0" i="0" u="none" baseline="0">
              <a:solidFill>
                <a:srgbClr val="000000"/>
              </a:solidFill>
              <a:latin typeface="Calibri"/>
              <a:ea typeface="Calibri"/>
              <a:cs typeface="Calibri"/>
            </a:rPr>
            <a:t> sections.
</a:t>
          </a:r>
          <a:r>
            <a:rPr lang="en-US" cap="none" sz="1100" b="0" i="0" u="none" baseline="0">
              <a:solidFill>
                <a:srgbClr val="000000"/>
              </a:solidFill>
              <a:latin typeface="Calibri"/>
              <a:ea typeface="Calibri"/>
              <a:cs typeface="Calibri"/>
            </a:rPr>
            <a:t>The </a:t>
          </a:r>
          <a:r>
            <a:rPr lang="en-US" cap="none" sz="1100" b="1" i="0" u="none" baseline="0">
              <a:solidFill>
                <a:srgbClr val="000000"/>
              </a:solidFill>
              <a:latin typeface="Calibri"/>
              <a:ea typeface="Calibri"/>
              <a:cs typeface="Calibri"/>
            </a:rPr>
            <a:t>green box </a:t>
          </a:r>
          <a:r>
            <a:rPr lang="en-US" cap="none" sz="1100" b="0" i="0" u="none" baseline="0">
              <a:solidFill>
                <a:srgbClr val="000000"/>
              </a:solidFill>
              <a:latin typeface="Calibri"/>
              <a:ea typeface="Calibri"/>
              <a:cs typeface="Calibri"/>
            </a:rPr>
            <a:t>is using the Btu value calculated from the Fuel Calc sheet. </a:t>
          </a:r>
          <a:r>
            <a:rPr lang="en-US" cap="none" sz="1100" b="1" i="1" u="none" baseline="0">
              <a:solidFill>
                <a:srgbClr val="000000"/>
              </a:solidFill>
              <a:latin typeface="Calibri"/>
              <a:ea typeface="Calibri"/>
              <a:cs typeface="Calibri"/>
            </a:rPr>
            <a:t>If you enter a value in that cell, you will lose your link. </a:t>
          </a:r>
          <a:r>
            <a:rPr lang="en-US" cap="none" sz="1100" b="0" i="0" u="none" baseline="0">
              <a:solidFill>
                <a:srgbClr val="000000"/>
              </a:solidFill>
              <a:latin typeface="Calibri"/>
              <a:ea typeface="Calibri"/>
              <a:cs typeface="Calibri"/>
            </a:rPr>
            <a:t>Do not save afterwards if you want to keep the link.</a:t>
          </a:r>
        </a:p>
      </xdr:txBody>
    </xdr:sp>
    <xdr:clientData/>
  </xdr:twoCellAnchor>
  <xdr:twoCellAnchor>
    <xdr:from>
      <xdr:col>0</xdr:col>
      <xdr:colOff>19050</xdr:colOff>
      <xdr:row>5</xdr:row>
      <xdr:rowOff>9525</xdr:rowOff>
    </xdr:from>
    <xdr:to>
      <xdr:col>0</xdr:col>
      <xdr:colOff>2905125</xdr:colOff>
      <xdr:row>27</xdr:row>
      <xdr:rowOff>66675</xdr:rowOff>
    </xdr:to>
    <xdr:sp>
      <xdr:nvSpPr>
        <xdr:cNvPr id="4" name="TextBox 4"/>
        <xdr:cNvSpPr txBox="1">
          <a:spLocks noChangeArrowheads="1"/>
        </xdr:cNvSpPr>
      </xdr:nvSpPr>
      <xdr:spPr>
        <a:xfrm>
          <a:off x="19050" y="1209675"/>
          <a:ext cx="2895600" cy="4667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Example 1
</a:t>
          </a:r>
          <a:r>
            <a:rPr lang="en-US" cap="none" sz="1100" b="0" i="0" u="none" baseline="0">
              <a:solidFill>
                <a:srgbClr val="000000"/>
              </a:solidFill>
              <a:latin typeface="Calibri"/>
              <a:ea typeface="Calibri"/>
              <a:cs typeface="Calibri"/>
            </a:rPr>
            <a:t>You have a 100 kW (0.1 MW) unit running 
</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Calibri"/>
              <a:ea typeface="Calibri"/>
              <a:cs typeface="Calibri"/>
            </a:rPr>
            <a:t> hr/day, 6 days/week, and grid electricity costs 15 cents/kWh. Total wood cost is $60/bone dry ton (0% moisture content), and the overall efficiency for making electricity is 21%. The margin is $36,534 . Note </a:t>
          </a:r>
          <a:r>
            <a:rPr lang="en-US" cap="none" sz="1100" b="1" i="0" u="none" baseline="0">
              <a:solidFill>
                <a:srgbClr val="000000"/>
              </a:solidFill>
              <a:latin typeface="Calibri"/>
              <a:ea typeface="Calibri"/>
              <a:cs typeface="Calibri"/>
            </a:rPr>
            <a:t>(in line 27)</a:t>
          </a:r>
          <a:r>
            <a:rPr lang="en-US" cap="none" sz="1100" b="0" i="0" u="none" baseline="0">
              <a:solidFill>
                <a:srgbClr val="000000"/>
              </a:solidFill>
              <a:latin typeface="Calibri"/>
              <a:ea typeface="Calibri"/>
              <a:cs typeface="Calibri"/>
            </a:rPr>
            <a:t> that if you were displacing electricity valued at 10 cents per kWh ($29.94/mmBtu from fuel calculator), the excess heat would be worth$144,562. If you could capture 25% of that heat (or use all available for 3 months of the year) and add that value to electricity, your total margin would be $72,675. If you could use air-conditioning, an absorption or adsorption chiller could be used to make chilled water. In </a:t>
          </a:r>
          <a:r>
            <a:rPr lang="en-US" cap="none" sz="1100" b="1" i="0" u="none" baseline="0">
              <a:solidFill>
                <a:srgbClr val="000000"/>
              </a:solidFill>
              <a:latin typeface="Calibri"/>
              <a:ea typeface="Calibri"/>
              <a:cs typeface="Calibri"/>
            </a:rPr>
            <a:t>line 34, </a:t>
          </a:r>
          <a:r>
            <a:rPr lang="en-US" cap="none" sz="1100" b="0" i="0" u="none" baseline="0">
              <a:solidFill>
                <a:srgbClr val="000000"/>
              </a:solidFill>
              <a:latin typeface="Calibri"/>
              <a:ea typeface="Calibri"/>
              <a:cs typeface="Calibri"/>
            </a:rPr>
            <a:t>a SEER of 10 is used for an older AC unit that you are replacing.</a:t>
          </a:r>
          <a:r>
            <a:rPr lang="en-US" cap="none" sz="1100" b="0" i="0" u="none" baseline="0">
              <a:solidFill>
                <a:srgbClr val="000000"/>
              </a:solidFill>
              <a:latin typeface="Calibri"/>
              <a:ea typeface="Calibri"/>
              <a:cs typeface="Calibri"/>
            </a:rPr>
            <a:t> If you are replacing a newer AC unit with a higher SEER, the value of your chilled water is less. You can also insert the SEER of a new AC (some are approaching 30!) to compare to. In this example where 50% of the waste heat is converted to cooling (such as 100% conversion for half the year), the cooling is worth about 70% of the value of the  heat.  You can use waste heat for both heating and cooling, but the total can't be over 100%.</a:t>
          </a:r>
        </a:p>
      </xdr:txBody>
    </xdr:sp>
    <xdr:clientData/>
  </xdr:twoCellAnchor>
  <xdr:twoCellAnchor>
    <xdr:from>
      <xdr:col>0</xdr:col>
      <xdr:colOff>47625</xdr:colOff>
      <xdr:row>27</xdr:row>
      <xdr:rowOff>161925</xdr:rowOff>
    </xdr:from>
    <xdr:to>
      <xdr:col>0</xdr:col>
      <xdr:colOff>2905125</xdr:colOff>
      <xdr:row>41</xdr:row>
      <xdr:rowOff>57150</xdr:rowOff>
    </xdr:to>
    <xdr:sp>
      <xdr:nvSpPr>
        <xdr:cNvPr id="5" name="TextBox 6"/>
        <xdr:cNvSpPr txBox="1">
          <a:spLocks noChangeArrowheads="1"/>
        </xdr:cNvSpPr>
      </xdr:nvSpPr>
      <xdr:spPr>
        <a:xfrm>
          <a:off x="47625" y="5972175"/>
          <a:ext cx="2847975" cy="2790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Example 2
</a:t>
          </a:r>
          <a:r>
            <a:rPr lang="en-US" cap="none" sz="1100" b="0" i="0" u="none" baseline="0">
              <a:solidFill>
                <a:srgbClr val="000000"/>
              </a:solidFill>
              <a:latin typeface="Calibri"/>
              <a:ea typeface="Calibri"/>
              <a:cs typeface="Calibri"/>
            </a:rPr>
            <a:t>You have a 25 MW unit running 24 hr/day, 
</a:t>
          </a:r>
          <a:r>
            <a:rPr lang="en-US" cap="none" sz="1100" b="0" i="0" u="none" baseline="0">
              <a:solidFill>
                <a:srgbClr val="000000"/>
              </a:solidFill>
              <a:latin typeface="Calibri"/>
              <a:ea typeface="Calibri"/>
              <a:cs typeface="Calibri"/>
            </a:rPr>
            <a:t>7 days/week, and grid electricity costs 
</a:t>
          </a:r>
          <a:r>
            <a:rPr lang="en-US" cap="none" sz="1100" b="0" i="0" u="none" baseline="0">
              <a:solidFill>
                <a:srgbClr val="000000"/>
              </a:solidFill>
              <a:latin typeface="Calibri"/>
              <a:ea typeface="Calibri"/>
              <a:cs typeface="Calibri"/>
            </a:rPr>
            <a:t>8 cents/kWh. Total wood cost is $25/ton. 
</a:t>
          </a:r>
          <a:r>
            <a:rPr lang="en-US" cap="none" sz="1100" b="0" i="0" u="none" baseline="0">
              <a:solidFill>
                <a:srgbClr val="000000"/>
              </a:solidFill>
              <a:latin typeface="Calibri"/>
              <a:ea typeface="Calibri"/>
              <a:cs typeface="Calibri"/>
            </a:rPr>
            <a:t>Wood moisture content (MC) is 35% (wet basis). The efficiency for making electricity is 26%.  If your displaced heat was $10/million Btu, the value of heat generated would be $10,654,642 per yr. The value is lost if you cannot use this heat. Consider using waste heat for drying the wood or using it in another way. Use absorption chillers in the summer. Using all the heat for cooling for 3 months would be worth $2,294,846.   Using this heat is economically wise. A cooling tower or pond throws heating money away.</a:t>
          </a:r>
        </a:p>
      </xdr:txBody>
    </xdr:sp>
    <xdr:clientData/>
  </xdr:twoCellAnchor>
  <xdr:twoCellAnchor>
    <xdr:from>
      <xdr:col>7</xdr:col>
      <xdr:colOff>19050</xdr:colOff>
      <xdr:row>18</xdr:row>
      <xdr:rowOff>19050</xdr:rowOff>
    </xdr:from>
    <xdr:to>
      <xdr:col>9</xdr:col>
      <xdr:colOff>457200</xdr:colOff>
      <xdr:row>37</xdr:row>
      <xdr:rowOff>85725</xdr:rowOff>
    </xdr:to>
    <xdr:sp>
      <xdr:nvSpPr>
        <xdr:cNvPr id="6" name="TextBox 8"/>
        <xdr:cNvSpPr txBox="1">
          <a:spLocks noChangeArrowheads="1"/>
        </xdr:cNvSpPr>
      </xdr:nvSpPr>
      <xdr:spPr>
        <a:xfrm>
          <a:off x="10572750" y="3943350"/>
          <a:ext cx="2924175" cy="404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1" u="none" baseline="0">
              <a:solidFill>
                <a:srgbClr val="000000"/>
              </a:solidFill>
              <a:latin typeface="Calibri"/>
              <a:ea typeface="Calibri"/>
              <a:cs typeface="Calibri"/>
            </a:rPr>
            <a:t>Additional information
</a:t>
          </a:r>
          <a:r>
            <a:rPr lang="en-US" cap="none" sz="1100" b="1" i="0" u="none" baseline="0">
              <a:solidFill>
                <a:srgbClr val="DD0806"/>
              </a:solidFill>
              <a:latin typeface="Calibri"/>
              <a:ea typeface="Calibri"/>
              <a:cs typeface="Calibri"/>
            </a:rPr>
            <a:t>Hover over cells with red triangle
</a:t>
          </a:r>
          <a:r>
            <a:rPr lang="en-US" cap="none" sz="1100" b="1" i="0" u="none" baseline="0">
              <a:solidFill>
                <a:srgbClr val="DD0806"/>
              </a:solidFill>
              <a:latin typeface="Calibri"/>
              <a:ea typeface="Calibri"/>
              <a:cs typeface="Calibri"/>
            </a:rPr>
            <a:t>in right corner for more information.</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Maintenance and labor costs are not included. These costs are significant factors! Initial capital cost of the plant, its expected life, taxes, and insurance are also not considered. To create a profitable operation, the margin would need to cover all of these costs (ball park additional is 2‒6 cents/kWh).
</a:t>
          </a:r>
          <a:r>
            <a:rPr lang="en-US" cap="none" sz="1100" b="0" i="0" u="none" baseline="0">
              <a:solidFill>
                <a:srgbClr val="000000"/>
              </a:solidFill>
              <a:latin typeface="Calibri"/>
              <a:ea typeface="Calibri"/>
              <a:cs typeface="Calibri"/>
            </a:rPr>
            <a:t>Note that electricity may be more valuable if it is used internally versus being sold to the grid.
</a:t>
          </a:r>
          <a:r>
            <a:rPr lang="en-US" cap="none" sz="1100" b="0" i="0" u="none" baseline="0">
              <a:solidFill>
                <a:srgbClr val="000000"/>
              </a:solidFill>
              <a:latin typeface="Calibri"/>
              <a:ea typeface="Calibri"/>
              <a:cs typeface="Calibri"/>
            </a:rPr>
            <a:t>Greater profits are possible when waste heat is used (sold).
</a:t>
          </a:r>
          <a:r>
            <a:rPr lang="en-US" cap="none" sz="1100" b="0" i="0" u="none" baseline="0">
              <a:solidFill>
                <a:srgbClr val="000000"/>
              </a:solidFill>
              <a:latin typeface="Calibri"/>
              <a:ea typeface="Calibri"/>
              <a:cs typeface="Calibri"/>
            </a:rPr>
            <a:t>Moisture content of woody biomass  affects all values. When you have water, you have less wood, and you also waste energy by turning that water into steam.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*Plants larger than 25 MW are more efficient (labor, etc.), but material  transportation  costs (you have to go farther to get wood) become the controlling factor</a:t>
          </a:r>
          <a:r>
            <a:rPr lang="en-US" cap="none" sz="1100" b="0" i="0" u="none" baseline="0">
              <a:solidFill>
                <a:srgbClr val="000000"/>
              </a:solidFill>
              <a:latin typeface="Cambria"/>
              <a:ea typeface="Cambria"/>
              <a:cs typeface="Cambria"/>
            </a:rPr>
            <a:t>.
</a:t>
          </a:r>
        </a:p>
      </xdr:txBody>
    </xdr:sp>
    <xdr:clientData/>
  </xdr:twoCellAnchor>
  <xdr:oneCellAnchor>
    <xdr:from>
      <xdr:col>10</xdr:col>
      <xdr:colOff>504825</xdr:colOff>
      <xdr:row>30</xdr:row>
      <xdr:rowOff>66675</xdr:rowOff>
    </xdr:from>
    <xdr:ext cx="180975" cy="257175"/>
    <xdr:sp fLocksText="0">
      <xdr:nvSpPr>
        <xdr:cNvPr id="7" name="TextBox 3"/>
        <xdr:cNvSpPr txBox="1">
          <a:spLocks noChangeArrowheads="1"/>
        </xdr:cNvSpPr>
      </xdr:nvSpPr>
      <xdr:spPr>
        <a:xfrm>
          <a:off x="14135100" y="65055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7</xdr:col>
      <xdr:colOff>28575</xdr:colOff>
      <xdr:row>37</xdr:row>
      <xdr:rowOff>104775</xdr:rowOff>
    </xdr:from>
    <xdr:to>
      <xdr:col>9</xdr:col>
      <xdr:colOff>476250</xdr:colOff>
      <xdr:row>43</xdr:row>
      <xdr:rowOff>161925</xdr:rowOff>
    </xdr:to>
    <xdr:sp>
      <xdr:nvSpPr>
        <xdr:cNvPr id="8" name="TextBox 2"/>
        <xdr:cNvSpPr txBox="1">
          <a:spLocks noChangeArrowheads="1"/>
        </xdr:cNvSpPr>
      </xdr:nvSpPr>
      <xdr:spPr>
        <a:xfrm>
          <a:off x="10582275" y="8010525"/>
          <a:ext cx="2933700" cy="1238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Btu value of oven dry wood  is assumed to be 17,200,000 per ton.   You may change this value at cell D94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You can also see the Net Btu of wood at various moisture contents by adjusting cell H95 (does not affect this table)</a:t>
          </a:r>
          <a:r>
            <a:rPr lang="en-US" cap="none" sz="1100" b="0" i="0" u="none" baseline="0">
              <a:solidFill>
                <a:srgbClr val="000000"/>
              </a:solidFill>
              <a:latin typeface="Calibri"/>
              <a:ea typeface="Calibri"/>
              <a:cs typeface="Calibri"/>
            </a:rPr>
            <a:t>
</a:t>
          </a:r>
        </a:p>
      </xdr:txBody>
    </xdr:sp>
    <xdr:clientData/>
  </xdr:twoCellAnchor>
  <xdr:twoCellAnchor>
    <xdr:from>
      <xdr:col>0</xdr:col>
      <xdr:colOff>657225</xdr:colOff>
      <xdr:row>0</xdr:row>
      <xdr:rowOff>133350</xdr:rowOff>
    </xdr:from>
    <xdr:to>
      <xdr:col>0</xdr:col>
      <xdr:colOff>2457450</xdr:colOff>
      <xdr:row>2</xdr:row>
      <xdr:rowOff>266700</xdr:rowOff>
    </xdr:to>
    <xdr:sp>
      <xdr:nvSpPr>
        <xdr:cNvPr id="9" name="TextBox 5"/>
        <xdr:cNvSpPr txBox="1">
          <a:spLocks noChangeArrowheads="1"/>
        </xdr:cNvSpPr>
      </xdr:nvSpPr>
      <xdr:spPr>
        <a:xfrm>
          <a:off x="657225" y="133350"/>
          <a:ext cx="1800225" cy="647700"/>
        </a:xfrm>
        <a:prstGeom prst="rect">
          <a:avLst/>
        </a:prstGeom>
        <a:solidFill>
          <a:srgbClr val="A7D971"/>
        </a:solidFill>
        <a:ln w="9525" cmpd="sng">
          <a:solidFill>
            <a:srgbClr val="000000"/>
          </a:solidFill>
          <a:headEnd type="none"/>
          <a:tailEnd type="none"/>
        </a:ln>
      </xdr:spPr>
      <xdr:txBody>
        <a:bodyPr vertOverflow="clip" wrap="square"/>
        <a:p>
          <a:pPr algn="l">
            <a:defRPr/>
          </a:pPr>
          <a:r>
            <a:rPr lang="en-US" cap="none" sz="1100" b="0" i="1" u="none" baseline="0">
              <a:solidFill>
                <a:srgbClr val="000000"/>
              </a:solidFill>
            </a:rPr>
            <a:t>Use tabs at bottom left to switch between Fuel and Power calculators</a:t>
          </a:r>
        </a:p>
      </xdr:txBody>
    </xdr:sp>
    <xdr:clientData/>
  </xdr:twoCellAnchor>
</xdr:wsDr>
</file>

<file path=xl/theme/theme1.xml><?xml version="1.0" encoding="utf-8"?>
<a:theme xmlns:a="http://schemas.openxmlformats.org/drawingml/2006/main" name="Office Theme">
  <a:themeElements>
    <a:clrScheme name="Apothecary">
      <a:dk1>
        <a:sysClr val="windowText" lastClr="000000"/>
      </a:dk1>
      <a:lt1>
        <a:sysClr val="window" lastClr="FFFFFF"/>
      </a:lt1>
      <a:dk2>
        <a:srgbClr val="564B3C"/>
      </a:dk2>
      <a:lt2>
        <a:srgbClr val="ECEDD1"/>
      </a:lt2>
      <a:accent1>
        <a:srgbClr val="93A299"/>
      </a:accent1>
      <a:accent2>
        <a:srgbClr val="CF543F"/>
      </a:accent2>
      <a:accent3>
        <a:srgbClr val="B5AE53"/>
      </a:accent3>
      <a:accent4>
        <a:srgbClr val="848058"/>
      </a:accent4>
      <a:accent5>
        <a:srgbClr val="E8B54D"/>
      </a:accent5>
      <a:accent6>
        <a:srgbClr val="786C71"/>
      </a:accent6>
      <a:hlink>
        <a:srgbClr val="CCCC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pl.fs.fed.us/documnts/techline/fuel-value-calculator.pdf"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pl.fs.fed.us/documnts/fplgtr/fpl_gtr157.pdf" TargetMode="External" /><Relationship Id="rId2" Type="http://schemas.openxmlformats.org/officeDocument/2006/relationships/hyperlink" Target="http://www.fpl.fs.fed.us/documnts/fplgtr/fpl_gtr157/biomax_10.xls"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B1:AM138"/>
  <sheetViews>
    <sheetView showGridLines="0" showRowColHeaders="0" tabSelected="1" zoomScalePageLayoutView="0" workbookViewId="0" topLeftCell="A1">
      <selection activeCell="B29" sqref="B29"/>
    </sheetView>
  </sheetViews>
  <sheetFormatPr defaultColWidth="11.421875" defaultRowHeight="12.75"/>
  <cols>
    <col min="1" max="1" width="0.13671875" style="45" customWidth="1"/>
    <col min="2" max="2" width="24.421875" style="45" customWidth="1"/>
    <col min="3" max="3" width="14.7109375" style="167" customWidth="1"/>
    <col min="4" max="4" width="48.7109375" style="45" customWidth="1"/>
    <col min="5" max="5" width="9.7109375" style="45" customWidth="1"/>
    <col min="6" max="6" width="10.7109375" style="45" customWidth="1"/>
    <col min="7" max="7" width="8.8515625" style="45" customWidth="1"/>
    <col min="8" max="8" width="7.140625" style="45" customWidth="1"/>
    <col min="9" max="9" width="9.7109375" style="45" customWidth="1"/>
    <col min="10" max="10" width="12.7109375" style="45" customWidth="1"/>
    <col min="11" max="11" width="11.421875" style="45" customWidth="1"/>
    <col min="12" max="12" width="8.28125" style="45" customWidth="1"/>
    <col min="13" max="13" width="8.140625" style="45" customWidth="1"/>
    <col min="14" max="14" width="8.8515625" style="45" customWidth="1"/>
    <col min="15" max="15" width="9.8515625" style="45" customWidth="1"/>
    <col min="16" max="16" width="8.28125" style="45" customWidth="1"/>
    <col min="17" max="22" width="11.421875" style="45" customWidth="1"/>
    <col min="23" max="23" width="27.421875" style="45" bestFit="1" customWidth="1"/>
    <col min="24" max="24" width="9.140625" style="45" customWidth="1"/>
    <col min="25" max="25" width="14.8515625" style="45" customWidth="1"/>
    <col min="26" max="26" width="11.140625" style="45" bestFit="1" customWidth="1"/>
    <col min="27" max="27" width="13.421875" style="45" bestFit="1" customWidth="1"/>
    <col min="28" max="31" width="11.421875" style="45" customWidth="1"/>
    <col min="32" max="32" width="13.8515625" style="45" customWidth="1"/>
    <col min="33" max="34" width="10.7109375" style="45" customWidth="1"/>
    <col min="35" max="35" width="15.140625" style="45" customWidth="1"/>
    <col min="36" max="36" width="7.140625" style="45" customWidth="1"/>
    <col min="37" max="37" width="6.140625" style="45" customWidth="1"/>
    <col min="38" max="38" width="6.8515625" style="45" customWidth="1"/>
    <col min="39" max="39" width="6.140625" style="45" customWidth="1"/>
    <col min="40" max="16384" width="11.421875" style="45" customWidth="1"/>
  </cols>
  <sheetData>
    <row r="1" spans="4:15" ht="27" customHeight="1">
      <c r="D1" s="225" t="s">
        <v>8</v>
      </c>
      <c r="E1" s="226"/>
      <c r="F1" s="226"/>
      <c r="G1" s="226"/>
      <c r="H1" s="226"/>
      <c r="I1" s="226"/>
      <c r="J1" s="227"/>
      <c r="K1" s="38"/>
      <c r="L1" s="38"/>
      <c r="M1" s="38"/>
      <c r="N1" s="168"/>
      <c r="O1" s="168"/>
    </row>
    <row r="2" spans="3:13" s="50" customFormat="1" ht="13.5" customHeight="1">
      <c r="C2" s="169"/>
      <c r="D2" s="234" t="s">
        <v>115</v>
      </c>
      <c r="E2" s="235"/>
      <c r="F2" s="235"/>
      <c r="G2" s="235"/>
      <c r="H2" s="235"/>
      <c r="I2" s="235"/>
      <c r="J2" s="236"/>
      <c r="K2" s="170"/>
      <c r="L2" s="170"/>
      <c r="M2" s="170"/>
    </row>
    <row r="3" spans="2:15" ht="21" customHeight="1">
      <c r="B3" s="171"/>
      <c r="D3" s="237" t="s">
        <v>61</v>
      </c>
      <c r="E3" s="238"/>
      <c r="F3" s="238"/>
      <c r="G3" s="238"/>
      <c r="H3" s="238"/>
      <c r="I3" s="238"/>
      <c r="J3" s="239"/>
      <c r="K3" s="38"/>
      <c r="L3" s="38"/>
      <c r="M3" s="38"/>
      <c r="N3" s="168"/>
      <c r="O3" s="168"/>
    </row>
    <row r="4" spans="3:13" ht="21" customHeight="1" hidden="1">
      <c r="C4" s="172"/>
      <c r="J4" s="39"/>
      <c r="K4" s="39"/>
      <c r="L4" s="39"/>
      <c r="M4" s="39"/>
    </row>
    <row r="5" spans="3:10" ht="21" customHeight="1" hidden="1">
      <c r="C5" s="172"/>
      <c r="H5" s="2"/>
      <c r="I5" s="2"/>
      <c r="J5" s="45">
        <f>SUMIF(D7:J28,D30,J7:J28)</f>
        <v>1.7073170731707317E-05</v>
      </c>
    </row>
    <row r="6" spans="3:10" ht="21" customHeight="1" hidden="1">
      <c r="C6" s="172"/>
      <c r="J6" s="45" t="s">
        <v>0</v>
      </c>
    </row>
    <row r="7" spans="3:10" ht="21" customHeight="1" hidden="1">
      <c r="C7" s="173">
        <f aca="true" t="shared" si="0" ref="C7:C28">H7*J$5</f>
        <v>98.58219512195122</v>
      </c>
      <c r="D7" s="24" t="s">
        <v>63</v>
      </c>
      <c r="G7" s="174" t="s">
        <v>1</v>
      </c>
      <c r="H7" s="2">
        <v>5774100</v>
      </c>
      <c r="I7" s="2"/>
      <c r="J7" s="175">
        <f aca="true" t="shared" si="1" ref="J7:J28">G$30/H7</f>
        <v>2.4246202871443165E-07</v>
      </c>
    </row>
    <row r="8" spans="3:10" ht="21" customHeight="1" hidden="1">
      <c r="C8" s="173">
        <f t="shared" si="0"/>
        <v>152.21556609170727</v>
      </c>
      <c r="D8" s="24" t="s">
        <v>62</v>
      </c>
      <c r="G8" s="174" t="s">
        <v>1</v>
      </c>
      <c r="H8" s="2">
        <v>8915483.156799998</v>
      </c>
      <c r="I8" s="2"/>
      <c r="J8" s="175">
        <f t="shared" si="1"/>
        <v>1.5703018842362962E-07</v>
      </c>
    </row>
    <row r="9" spans="3:10" ht="21" customHeight="1" hidden="1">
      <c r="C9" s="173">
        <f t="shared" si="0"/>
        <v>179.03225574243905</v>
      </c>
      <c r="D9" s="24" t="s">
        <v>64</v>
      </c>
      <c r="G9" s="174" t="s">
        <v>1</v>
      </c>
      <c r="H9" s="2">
        <v>10486174.979200002</v>
      </c>
      <c r="I9" s="2"/>
      <c r="J9" s="175">
        <f t="shared" si="1"/>
        <v>1.3350912060660722E-07</v>
      </c>
    </row>
    <row r="10" spans="3:10" ht="21" customHeight="1" hidden="1">
      <c r="C10" s="173">
        <f>H10*J$5</f>
        <v>169.14731707317068</v>
      </c>
      <c r="D10" s="24" t="s">
        <v>65</v>
      </c>
      <c r="G10" s="174" t="s">
        <v>1</v>
      </c>
      <c r="H10" s="2">
        <v>9907199.999999998</v>
      </c>
      <c r="I10" s="2"/>
      <c r="J10" s="175">
        <f t="shared" si="1"/>
        <v>1.4131136950904393E-07</v>
      </c>
    </row>
    <row r="11" spans="3:10" ht="21" customHeight="1" hidden="1">
      <c r="C11" s="173">
        <f aca="true" t="shared" si="2" ref="C11:C18">H11*J$5</f>
        <v>148.0039024390244</v>
      </c>
      <c r="D11" s="24" t="s">
        <v>79</v>
      </c>
      <c r="G11" s="174" t="s">
        <v>1</v>
      </c>
      <c r="H11" s="2">
        <v>8668800</v>
      </c>
      <c r="I11" s="2"/>
      <c r="J11" s="175">
        <f t="shared" si="1"/>
        <v>1.614987080103359E-07</v>
      </c>
    </row>
    <row r="12" spans="3:10" ht="21" customHeight="1" hidden="1">
      <c r="C12" s="173">
        <f t="shared" si="2"/>
        <v>127.02587486744434</v>
      </c>
      <c r="D12" s="24" t="s">
        <v>80</v>
      </c>
      <c r="G12" s="174" t="s">
        <v>1</v>
      </c>
      <c r="H12" s="2">
        <v>7440086.95652174</v>
      </c>
      <c r="I12" s="2"/>
      <c r="J12" s="175">
        <f t="shared" si="1"/>
        <v>1.881698437372167E-07</v>
      </c>
    </row>
    <row r="13" spans="3:10" ht="21" customHeight="1" hidden="1">
      <c r="C13" s="173">
        <f t="shared" si="2"/>
        <v>232.66563504390243</v>
      </c>
      <c r="D13" s="24" t="s">
        <v>66</v>
      </c>
      <c r="G13" s="174" t="s">
        <v>1</v>
      </c>
      <c r="H13" s="2">
        <v>13627558.624</v>
      </c>
      <c r="I13" s="2"/>
      <c r="J13" s="175">
        <f t="shared" si="1"/>
        <v>1.0273300145885323E-07</v>
      </c>
    </row>
    <row r="14" spans="3:10" ht="21" customHeight="1" hidden="1">
      <c r="C14" s="173">
        <f t="shared" si="2"/>
        <v>125.3988764409756</v>
      </c>
      <c r="D14" s="24" t="s">
        <v>76</v>
      </c>
      <c r="G14" s="174" t="s">
        <v>1</v>
      </c>
      <c r="H14" s="2">
        <f>K137*1000</f>
        <v>7344791.334399999</v>
      </c>
      <c r="I14" s="2"/>
      <c r="J14" s="175">
        <f t="shared" si="1"/>
        <v>1.906112694370189E-07</v>
      </c>
    </row>
    <row r="15" spans="3:10" ht="21" customHeight="1" hidden="1">
      <c r="C15" s="173">
        <f t="shared" si="2"/>
        <v>70.4780487804878</v>
      </c>
      <c r="D15" s="24" t="s">
        <v>77</v>
      </c>
      <c r="G15" s="174" t="s">
        <v>1</v>
      </c>
      <c r="H15" s="2">
        <f>K138*1000</f>
        <v>4128000</v>
      </c>
      <c r="I15" s="2"/>
      <c r="J15" s="175">
        <f t="shared" si="1"/>
        <v>3.391472868217054E-07</v>
      </c>
    </row>
    <row r="16" spans="3:10" ht="21" customHeight="1" hidden="1">
      <c r="C16" s="173">
        <f t="shared" si="2"/>
        <v>232.34263414634145</v>
      </c>
      <c r="D16" s="24" t="s">
        <v>67</v>
      </c>
      <c r="G16" s="174" t="s">
        <v>1</v>
      </c>
      <c r="H16" s="2">
        <v>13608640</v>
      </c>
      <c r="I16" s="2"/>
      <c r="J16" s="175">
        <f t="shared" si="1"/>
        <v>1.0287582006725138E-07</v>
      </c>
    </row>
    <row r="17" spans="3:10" ht="21" customHeight="1" hidden="1">
      <c r="C17" s="173">
        <f t="shared" si="2"/>
        <v>210.72936585365855</v>
      </c>
      <c r="D17" s="24" t="s">
        <v>48</v>
      </c>
      <c r="G17" s="174" t="s">
        <v>1</v>
      </c>
      <c r="H17" s="2">
        <v>12342720.000000002</v>
      </c>
      <c r="I17" s="2"/>
      <c r="J17" s="175">
        <f t="shared" si="1"/>
        <v>1.134271862279951E-07</v>
      </c>
    </row>
    <row r="18" spans="3:10" ht="21" customHeight="1" hidden="1">
      <c r="C18" s="173">
        <f t="shared" si="2"/>
        <v>175.60780487804877</v>
      </c>
      <c r="D18" s="24" t="s">
        <v>57</v>
      </c>
      <c r="G18" s="174" t="s">
        <v>1</v>
      </c>
      <c r="H18" s="2">
        <v>10285600</v>
      </c>
      <c r="I18" s="2"/>
      <c r="J18" s="175">
        <f t="shared" si="1"/>
        <v>1.3611262347359415E-07</v>
      </c>
    </row>
    <row r="19" spans="3:10" ht="21" customHeight="1" hidden="1">
      <c r="C19" s="176">
        <f t="shared" si="0"/>
        <v>1.4</v>
      </c>
      <c r="D19" s="24" t="s">
        <v>11</v>
      </c>
      <c r="G19" s="174" t="s">
        <v>2</v>
      </c>
      <c r="H19" s="2">
        <v>82000</v>
      </c>
      <c r="I19" s="2"/>
      <c r="J19" s="175">
        <f t="shared" si="1"/>
        <v>1.7073170731707317E-05</v>
      </c>
    </row>
    <row r="20" spans="3:10" ht="21" customHeight="1" hidden="1">
      <c r="C20" s="176">
        <f t="shared" si="0"/>
        <v>0.057024390243902434</v>
      </c>
      <c r="D20" s="24" t="s">
        <v>68</v>
      </c>
      <c r="G20" s="174" t="s">
        <v>3</v>
      </c>
      <c r="H20" s="2">
        <f>3340*F47</f>
        <v>3340</v>
      </c>
      <c r="I20" s="2"/>
      <c r="J20" s="175">
        <f t="shared" si="1"/>
        <v>0.0004191616766467066</v>
      </c>
    </row>
    <row r="21" spans="3:10" ht="21" customHeight="1" hidden="1">
      <c r="C21" s="173">
        <f t="shared" si="0"/>
        <v>261.2195121951219</v>
      </c>
      <c r="D21" s="24" t="s">
        <v>69</v>
      </c>
      <c r="G21" s="174" t="s">
        <v>7</v>
      </c>
      <c r="H21" s="2">
        <v>15300000</v>
      </c>
      <c r="I21" s="2"/>
      <c r="J21" s="175">
        <f t="shared" si="1"/>
        <v>9.15032679738562E-08</v>
      </c>
    </row>
    <row r="22" spans="3:10" ht="21" customHeight="1" hidden="1">
      <c r="C22" s="173">
        <f t="shared" si="0"/>
        <v>211.7073170731707</v>
      </c>
      <c r="D22" s="24" t="s">
        <v>58</v>
      </c>
      <c r="G22" s="174" t="s">
        <v>1</v>
      </c>
      <c r="H22" s="2">
        <v>12400000</v>
      </c>
      <c r="I22" s="2"/>
      <c r="J22" s="175">
        <f t="shared" si="1"/>
        <v>1.1290322580645161E-07</v>
      </c>
    </row>
    <row r="23" spans="3:10" ht="21" customHeight="1" hidden="1">
      <c r="C23" s="173">
        <f t="shared" si="0"/>
        <v>443.9024390243902</v>
      </c>
      <c r="D23" s="24" t="s">
        <v>70</v>
      </c>
      <c r="G23" s="174" t="s">
        <v>1</v>
      </c>
      <c r="H23" s="2">
        <v>26000000</v>
      </c>
      <c r="I23" s="2"/>
      <c r="J23" s="175">
        <f t="shared" si="1"/>
        <v>5.384615384615384E-08</v>
      </c>
    </row>
    <row r="24" spans="3:10" ht="21" customHeight="1" hidden="1">
      <c r="C24" s="176">
        <f t="shared" si="0"/>
        <v>5.360975609756097</v>
      </c>
      <c r="D24" s="24" t="s">
        <v>71</v>
      </c>
      <c r="G24" s="174" t="s">
        <v>4</v>
      </c>
      <c r="H24" s="2">
        <v>314000</v>
      </c>
      <c r="I24" s="2"/>
      <c r="J24" s="175">
        <f t="shared" si="1"/>
        <v>4.458598726114649E-06</v>
      </c>
    </row>
    <row r="25" spans="3:10" ht="21" customHeight="1" hidden="1">
      <c r="C25" s="176">
        <f>H25*J$5</f>
        <v>1.677780487804878</v>
      </c>
      <c r="D25" s="24" t="s">
        <v>72</v>
      </c>
      <c r="G25" s="174" t="s">
        <v>5</v>
      </c>
      <c r="H25" s="2">
        <v>98270</v>
      </c>
      <c r="I25" s="2"/>
      <c r="J25" s="175">
        <f t="shared" si="1"/>
        <v>1.4246463824157932E-05</v>
      </c>
    </row>
    <row r="26" spans="3:10" ht="21" customHeight="1" hidden="1">
      <c r="C26" s="176">
        <f t="shared" si="0"/>
        <v>1.9634146341463414</v>
      </c>
      <c r="D26" s="24" t="s">
        <v>73</v>
      </c>
      <c r="G26" s="174" t="s">
        <v>5</v>
      </c>
      <c r="H26" s="2">
        <v>115000</v>
      </c>
      <c r="I26" s="2"/>
      <c r="J26" s="175">
        <f t="shared" si="1"/>
        <v>1.217391304347826E-05</v>
      </c>
    </row>
    <row r="27" spans="3:10" ht="21" customHeight="1" hidden="1">
      <c r="C27" s="176">
        <f t="shared" si="0"/>
        <v>2.1170731707317074</v>
      </c>
      <c r="D27" s="24" t="s">
        <v>74</v>
      </c>
      <c r="G27" s="174" t="s">
        <v>5</v>
      </c>
      <c r="H27" s="2">
        <v>124000</v>
      </c>
      <c r="I27" s="2"/>
      <c r="J27" s="175">
        <f t="shared" si="1"/>
        <v>1.129032258064516E-05</v>
      </c>
    </row>
    <row r="28" spans="3:10" ht="21" customHeight="1" hidden="1">
      <c r="C28" s="176">
        <f t="shared" si="0"/>
        <v>1.227560975609756</v>
      </c>
      <c r="D28" s="24" t="s">
        <v>12</v>
      </c>
      <c r="G28" s="174" t="s">
        <v>5</v>
      </c>
      <c r="H28" s="2">
        <v>71900</v>
      </c>
      <c r="I28" s="2"/>
      <c r="J28" s="175">
        <f t="shared" si="1"/>
        <v>1.9471488178025033E-05</v>
      </c>
    </row>
    <row r="29" spans="2:10" ht="21" customHeight="1">
      <c r="B29" s="30" t="s">
        <v>155</v>
      </c>
      <c r="C29" s="177"/>
      <c r="D29" s="23" t="s">
        <v>78</v>
      </c>
      <c r="E29" s="1"/>
      <c r="F29" s="232" t="s">
        <v>84</v>
      </c>
      <c r="G29" s="233"/>
      <c r="H29" s="233"/>
      <c r="I29" s="2"/>
      <c r="J29" s="27"/>
    </row>
    <row r="30" spans="2:10" s="17" customFormat="1" ht="23.25" customHeight="1">
      <c r="B30" s="26"/>
      <c r="C30" s="178"/>
      <c r="D30" s="31" t="s">
        <v>11</v>
      </c>
      <c r="F30" s="18"/>
      <c r="G30" s="36">
        <v>1.4</v>
      </c>
      <c r="J30" s="28"/>
    </row>
    <row r="31" spans="3:10" ht="21.75" customHeight="1">
      <c r="C31" s="175"/>
      <c r="D31" s="25" t="s">
        <v>154</v>
      </c>
      <c r="E31" s="19"/>
      <c r="F31" s="19"/>
      <c r="G31" s="21">
        <f>G34/H7*10^6</f>
        <v>17.073170731707318</v>
      </c>
      <c r="H31" s="22" t="s">
        <v>46</v>
      </c>
      <c r="I31" s="20"/>
      <c r="J31" s="29"/>
    </row>
    <row r="32" spans="3:10" ht="15.75" customHeight="1">
      <c r="C32" s="175"/>
      <c r="D32" s="230" t="s">
        <v>9</v>
      </c>
      <c r="E32" s="228" t="s">
        <v>75</v>
      </c>
      <c r="F32" s="158" t="s">
        <v>49</v>
      </c>
      <c r="G32" s="159" t="s">
        <v>81</v>
      </c>
      <c r="H32" s="160"/>
      <c r="I32" s="161" t="s">
        <v>47</v>
      </c>
      <c r="J32" s="158" t="s">
        <v>13</v>
      </c>
    </row>
    <row r="33" spans="3:10" ht="15.75" customHeight="1">
      <c r="C33" s="175"/>
      <c r="D33" s="231"/>
      <c r="E33" s="229"/>
      <c r="F33" s="220" t="s">
        <v>159</v>
      </c>
      <c r="G33" s="162" t="s">
        <v>10</v>
      </c>
      <c r="H33" s="163"/>
      <c r="I33" s="164" t="s">
        <v>82</v>
      </c>
      <c r="J33" s="165" t="s">
        <v>83</v>
      </c>
    </row>
    <row r="34" spans="3:10" ht="15.75" customHeight="1">
      <c r="C34" s="175"/>
      <c r="D34" s="24" t="s">
        <v>63</v>
      </c>
      <c r="E34" s="4">
        <v>50</v>
      </c>
      <c r="F34" s="5">
        <v>8600</v>
      </c>
      <c r="G34" s="6">
        <f aca="true" t="shared" si="3" ref="G34:G55">C7</f>
        <v>98.58219512195122</v>
      </c>
      <c r="H34" s="7" t="str">
        <f aca="true" t="shared" si="4" ref="H34:H55">G7</f>
        <v>/ton</v>
      </c>
      <c r="I34" s="8">
        <v>30</v>
      </c>
      <c r="J34" s="32">
        <f>O132</f>
        <v>0.67140692</v>
      </c>
    </row>
    <row r="35" spans="3:10" ht="15.75" customHeight="1">
      <c r="C35" s="175"/>
      <c r="D35" s="24" t="s">
        <v>62</v>
      </c>
      <c r="E35" s="4">
        <v>30</v>
      </c>
      <c r="F35" s="5">
        <v>8600</v>
      </c>
      <c r="G35" s="6">
        <f t="shared" si="3"/>
        <v>152.21556609170727</v>
      </c>
      <c r="H35" s="7" t="str">
        <f t="shared" si="4"/>
        <v>/ton</v>
      </c>
      <c r="I35" s="8">
        <v>45</v>
      </c>
      <c r="J35" s="32">
        <f>O128</f>
        <v>0.7404886342857142</v>
      </c>
    </row>
    <row r="36" spans="3:10" ht="15.75" customHeight="1">
      <c r="C36" s="175"/>
      <c r="D36" s="24" t="s">
        <v>64</v>
      </c>
      <c r="E36" s="4">
        <v>20</v>
      </c>
      <c r="F36" s="5">
        <v>8600</v>
      </c>
      <c r="G36" s="6">
        <f t="shared" si="3"/>
        <v>179.03225574243905</v>
      </c>
      <c r="H36" s="7" t="str">
        <f t="shared" si="4"/>
        <v>/ton</v>
      </c>
      <c r="I36" s="8">
        <v>60</v>
      </c>
      <c r="J36" s="32">
        <f>O126</f>
        <v>0.7620766700000001</v>
      </c>
    </row>
    <row r="37" spans="3:10" ht="15.75" customHeight="1">
      <c r="C37" s="175"/>
      <c r="D37" s="24" t="s">
        <v>65</v>
      </c>
      <c r="E37" s="4">
        <v>20</v>
      </c>
      <c r="F37" s="5">
        <v>8600</v>
      </c>
      <c r="G37" s="6">
        <f t="shared" si="3"/>
        <v>169.14731707317068</v>
      </c>
      <c r="H37" s="7" t="str">
        <f t="shared" si="4"/>
        <v>/ton</v>
      </c>
      <c r="I37" s="8">
        <f>I36</f>
        <v>60</v>
      </c>
      <c r="J37" s="9">
        <v>0.72</v>
      </c>
    </row>
    <row r="38" spans="3:10" ht="15.75" customHeight="1">
      <c r="C38" s="175"/>
      <c r="D38" s="24" t="s">
        <v>79</v>
      </c>
      <c r="E38" s="4">
        <v>20</v>
      </c>
      <c r="F38" s="5">
        <v>8600</v>
      </c>
      <c r="G38" s="6">
        <f t="shared" si="3"/>
        <v>148.0039024390244</v>
      </c>
      <c r="H38" s="7" t="str">
        <f t="shared" si="4"/>
        <v>/ton</v>
      </c>
      <c r="I38" s="8">
        <f>I37</f>
        <v>60</v>
      </c>
      <c r="J38" s="9">
        <v>0.63</v>
      </c>
    </row>
    <row r="39" spans="3:10" ht="15.75" customHeight="1">
      <c r="C39" s="175"/>
      <c r="D39" s="24" t="s">
        <v>80</v>
      </c>
      <c r="E39" s="4">
        <v>20</v>
      </c>
      <c r="F39" s="5">
        <v>8600</v>
      </c>
      <c r="G39" s="6">
        <f t="shared" si="3"/>
        <v>127.02587486744434</v>
      </c>
      <c r="H39" s="7" t="str">
        <f t="shared" si="4"/>
        <v>/ton</v>
      </c>
      <c r="I39" s="8">
        <f>I38</f>
        <v>60</v>
      </c>
      <c r="J39" s="9">
        <v>0.54</v>
      </c>
    </row>
    <row r="40" spans="3:10" ht="15.75" customHeight="1">
      <c r="C40" s="175"/>
      <c r="D40" s="24" t="s">
        <v>66</v>
      </c>
      <c r="E40" s="4">
        <v>0</v>
      </c>
      <c r="F40" s="5">
        <v>8600</v>
      </c>
      <c r="G40" s="6">
        <f t="shared" si="3"/>
        <v>232.66563504390243</v>
      </c>
      <c r="H40" s="7" t="str">
        <f t="shared" si="4"/>
        <v>/ton</v>
      </c>
      <c r="I40" s="8">
        <v>130</v>
      </c>
      <c r="J40" s="32">
        <f>O120</f>
        <v>0.7922999199999999</v>
      </c>
    </row>
    <row r="41" spans="3:10" ht="15.75" customHeight="1">
      <c r="C41" s="175"/>
      <c r="D41" s="24" t="s">
        <v>76</v>
      </c>
      <c r="E41" s="33">
        <v>40</v>
      </c>
      <c r="F41" s="34">
        <v>8600</v>
      </c>
      <c r="G41" s="6">
        <f t="shared" si="3"/>
        <v>125.3988764409756</v>
      </c>
      <c r="H41" s="7" t="str">
        <f t="shared" si="4"/>
        <v>/ton</v>
      </c>
      <c r="I41" s="8"/>
      <c r="J41" s="10">
        <f>O137</f>
        <v>0.7117045866666666</v>
      </c>
    </row>
    <row r="42" spans="3:11" ht="15.75" customHeight="1">
      <c r="C42" s="175"/>
      <c r="D42" s="24" t="s">
        <v>77</v>
      </c>
      <c r="E42" s="4">
        <f>E41</f>
        <v>40</v>
      </c>
      <c r="F42" s="5">
        <f>F41</f>
        <v>8600</v>
      </c>
      <c r="G42" s="6">
        <f t="shared" si="3"/>
        <v>70.4780487804878</v>
      </c>
      <c r="H42" s="7" t="str">
        <f t="shared" si="4"/>
        <v>/ton</v>
      </c>
      <c r="I42" s="8"/>
      <c r="J42" s="35">
        <v>0.4</v>
      </c>
      <c r="K42" s="45">
        <v>40</v>
      </c>
    </row>
    <row r="43" spans="3:10" ht="15.75" customHeight="1">
      <c r="C43" s="175"/>
      <c r="D43" s="24" t="s">
        <v>67</v>
      </c>
      <c r="E43" s="4">
        <v>8</v>
      </c>
      <c r="F43" s="5">
        <v>8600</v>
      </c>
      <c r="G43" s="6">
        <f t="shared" si="3"/>
        <v>232.34263414634145</v>
      </c>
      <c r="H43" s="7" t="str">
        <f t="shared" si="4"/>
        <v>/ton</v>
      </c>
      <c r="I43" s="8">
        <v>235</v>
      </c>
      <c r="J43" s="9">
        <v>0.86</v>
      </c>
    </row>
    <row r="44" spans="3:10" ht="15.75" customHeight="1">
      <c r="C44" s="175"/>
      <c r="D44" s="24" t="s">
        <v>48</v>
      </c>
      <c r="E44" s="4">
        <v>8</v>
      </c>
      <c r="F44" s="5">
        <v>8600</v>
      </c>
      <c r="G44" s="6">
        <f t="shared" si="3"/>
        <v>210.72936585365855</v>
      </c>
      <c r="H44" s="7" t="str">
        <f t="shared" si="4"/>
        <v>/ton</v>
      </c>
      <c r="I44" s="8">
        <f>I43</f>
        <v>235</v>
      </c>
      <c r="J44" s="9">
        <v>0.78</v>
      </c>
    </row>
    <row r="45" spans="3:10" ht="15.75" customHeight="1">
      <c r="C45" s="175"/>
      <c r="D45" s="24" t="s">
        <v>57</v>
      </c>
      <c r="E45" s="4">
        <v>8</v>
      </c>
      <c r="F45" s="5">
        <v>8600</v>
      </c>
      <c r="G45" s="6">
        <f t="shared" si="3"/>
        <v>175.60780487804877</v>
      </c>
      <c r="H45" s="7" t="str">
        <f t="shared" si="4"/>
        <v>/ton</v>
      </c>
      <c r="I45" s="8">
        <f>I44</f>
        <v>235</v>
      </c>
      <c r="J45" s="9">
        <v>0.65</v>
      </c>
    </row>
    <row r="46" spans="3:10" ht="15.75" customHeight="1">
      <c r="C46" s="175"/>
      <c r="D46" s="24" t="s">
        <v>11</v>
      </c>
      <c r="E46" s="3"/>
      <c r="F46" s="11"/>
      <c r="G46" s="12">
        <f t="shared" si="3"/>
        <v>1.4</v>
      </c>
      <c r="H46" s="7" t="str">
        <f t="shared" si="4"/>
        <v>/therm</v>
      </c>
      <c r="I46" s="13"/>
      <c r="J46" s="9">
        <v>0.8</v>
      </c>
    </row>
    <row r="47" spans="3:10" ht="15.75" customHeight="1">
      <c r="C47" s="175"/>
      <c r="D47" s="24" t="s">
        <v>68</v>
      </c>
      <c r="E47" s="14"/>
      <c r="F47" s="33">
        <v>1</v>
      </c>
      <c r="G47" s="15">
        <f t="shared" si="3"/>
        <v>0.057024390243902434</v>
      </c>
      <c r="H47" s="7" t="str">
        <f t="shared" si="4"/>
        <v>/kWh</v>
      </c>
      <c r="I47" s="16">
        <v>0.18</v>
      </c>
      <c r="J47" s="9">
        <v>0.98</v>
      </c>
    </row>
    <row r="48" spans="3:10" ht="15.75" customHeight="1">
      <c r="C48" s="175"/>
      <c r="D48" s="24" t="s">
        <v>69</v>
      </c>
      <c r="E48" s="4"/>
      <c r="F48" s="5"/>
      <c r="G48" s="6">
        <f t="shared" si="3"/>
        <v>261.2195121951219</v>
      </c>
      <c r="H48" s="7" t="str">
        <f t="shared" si="4"/>
        <v>/cord</v>
      </c>
      <c r="I48" s="8">
        <v>200</v>
      </c>
      <c r="J48" s="9">
        <v>0.77</v>
      </c>
    </row>
    <row r="49" spans="3:10" ht="15.75" customHeight="1">
      <c r="C49" s="175"/>
      <c r="D49" s="24" t="s">
        <v>58</v>
      </c>
      <c r="E49" s="4">
        <v>0</v>
      </c>
      <c r="F49" s="5">
        <v>7750</v>
      </c>
      <c r="G49" s="6">
        <f t="shared" si="3"/>
        <v>211.7073170731707</v>
      </c>
      <c r="H49" s="7" t="str">
        <f t="shared" si="4"/>
        <v>/ton</v>
      </c>
      <c r="I49" s="13"/>
      <c r="J49" s="9">
        <v>0.8</v>
      </c>
    </row>
    <row r="50" spans="3:10" ht="15.75" customHeight="1">
      <c r="C50" s="175"/>
      <c r="D50" s="24" t="s">
        <v>70</v>
      </c>
      <c r="E50" s="4">
        <v>0</v>
      </c>
      <c r="F50" s="5">
        <v>15300</v>
      </c>
      <c r="G50" s="6">
        <f t="shared" si="3"/>
        <v>443.9024390243902</v>
      </c>
      <c r="H50" s="7" t="str">
        <f t="shared" si="4"/>
        <v>/ton</v>
      </c>
      <c r="I50" s="13"/>
      <c r="J50" s="9">
        <v>0.85</v>
      </c>
    </row>
    <row r="51" spans="3:10" ht="15.75" customHeight="1">
      <c r="C51" s="175"/>
      <c r="D51" s="24" t="s">
        <v>71</v>
      </c>
      <c r="E51" s="4"/>
      <c r="F51" s="5"/>
      <c r="G51" s="12">
        <f t="shared" si="3"/>
        <v>5.360975609756097</v>
      </c>
      <c r="H51" s="7" t="str">
        <f t="shared" si="4"/>
        <v>/bu</v>
      </c>
      <c r="I51" s="13"/>
      <c r="J51" s="9">
        <v>0.8</v>
      </c>
    </row>
    <row r="52" spans="3:10" ht="15.75" customHeight="1">
      <c r="C52" s="175"/>
      <c r="D52" s="24" t="s">
        <v>72</v>
      </c>
      <c r="E52" s="4"/>
      <c r="F52" s="5"/>
      <c r="G52" s="12">
        <f t="shared" si="3"/>
        <v>1.677780487804878</v>
      </c>
      <c r="H52" s="7" t="str">
        <f t="shared" si="4"/>
        <v>/gal</v>
      </c>
      <c r="I52" s="13"/>
      <c r="J52" s="9">
        <v>0.83</v>
      </c>
    </row>
    <row r="53" spans="3:10" ht="15.75" customHeight="1">
      <c r="C53" s="175"/>
      <c r="D53" s="24" t="s">
        <v>73</v>
      </c>
      <c r="E53" s="4"/>
      <c r="F53" s="5"/>
      <c r="G53" s="12">
        <f t="shared" si="3"/>
        <v>1.9634146341463414</v>
      </c>
      <c r="H53" s="7" t="str">
        <f t="shared" si="4"/>
        <v>/gal</v>
      </c>
      <c r="I53" s="13"/>
      <c r="J53" s="9">
        <v>0.83</v>
      </c>
    </row>
    <row r="54" spans="4:10" ht="15.75" customHeight="1">
      <c r="D54" s="24" t="s">
        <v>74</v>
      </c>
      <c r="E54" s="3"/>
      <c r="F54" s="3"/>
      <c r="G54" s="12">
        <f t="shared" si="3"/>
        <v>2.1170731707317074</v>
      </c>
      <c r="H54" s="7" t="str">
        <f t="shared" si="4"/>
        <v>/gal</v>
      </c>
      <c r="I54" s="13"/>
      <c r="J54" s="9">
        <v>0.83</v>
      </c>
    </row>
    <row r="55" spans="4:10" ht="15.75" customHeight="1">
      <c r="D55" s="24" t="s">
        <v>12</v>
      </c>
      <c r="E55" s="3"/>
      <c r="F55" s="3"/>
      <c r="G55" s="12">
        <f t="shared" si="3"/>
        <v>1.227560975609756</v>
      </c>
      <c r="H55" s="7" t="str">
        <f t="shared" si="4"/>
        <v>/gal</v>
      </c>
      <c r="I55" s="13"/>
      <c r="J55" s="9">
        <v>0.79</v>
      </c>
    </row>
    <row r="56" spans="4:10" ht="15" customHeight="1">
      <c r="D56" s="223" t="s">
        <v>85</v>
      </c>
      <c r="E56" s="223"/>
      <c r="F56" s="223"/>
      <c r="G56" s="223"/>
      <c r="H56" s="223"/>
      <c r="I56" s="223"/>
      <c r="J56" s="223"/>
    </row>
    <row r="57" spans="4:10" ht="15.75" customHeight="1">
      <c r="D57" s="224" t="s">
        <v>6</v>
      </c>
      <c r="E57" s="224"/>
      <c r="F57" s="224"/>
      <c r="G57" s="224"/>
      <c r="H57" s="224"/>
      <c r="I57" s="224"/>
      <c r="J57" s="224"/>
    </row>
    <row r="58" ht="13.5" customHeight="1"/>
    <row r="59" spans="4:10" ht="14.25" customHeight="1">
      <c r="D59" s="222"/>
      <c r="E59" s="222"/>
      <c r="F59" s="222"/>
      <c r="G59" s="222"/>
      <c r="H59" s="222"/>
      <c r="I59" s="222"/>
      <c r="J59" s="222"/>
    </row>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spans="5:8" ht="14.25" customHeight="1">
      <c r="E96" s="208" t="s">
        <v>158</v>
      </c>
      <c r="F96" s="209"/>
      <c r="G96" s="209"/>
      <c r="H96" s="210"/>
    </row>
    <row r="97" ht="14.25" customHeight="1"/>
    <row r="98" spans="4:13" ht="42" customHeight="1" thickBot="1">
      <c r="D98" s="179" t="s">
        <v>26</v>
      </c>
      <c r="E98" s="180" t="s">
        <v>50</v>
      </c>
      <c r="F98" s="181" t="s">
        <v>28</v>
      </c>
      <c r="G98" s="151" t="s">
        <v>29</v>
      </c>
      <c r="H98" s="153" t="s">
        <v>30</v>
      </c>
      <c r="I98" s="153"/>
      <c r="J98" s="145" t="s">
        <v>31</v>
      </c>
      <c r="K98" s="145" t="s">
        <v>55</v>
      </c>
      <c r="L98" s="133" t="s">
        <v>51</v>
      </c>
      <c r="M98" s="133" t="s">
        <v>52</v>
      </c>
    </row>
    <row r="99" spans="4:14" ht="14.25" customHeight="1" thickBot="1" thickTop="1">
      <c r="D99" s="182">
        <f>(100-E99)*D$117</f>
        <v>728</v>
      </c>
      <c r="E99" s="211">
        <v>35</v>
      </c>
      <c r="F99" s="183">
        <f>(100-E99)*F$117/100</f>
        <v>11180</v>
      </c>
      <c r="G99" s="152">
        <f>G$117*E99/50</f>
        <v>846.2510000000001</v>
      </c>
      <c r="H99" s="154">
        <f>D99*G$117/1000</f>
        <v>880.10104</v>
      </c>
      <c r="I99" s="154"/>
      <c r="J99" s="149">
        <f>F99-H99-G99</f>
        <v>9453.64796</v>
      </c>
      <c r="K99" s="184">
        <f>J99/F99</f>
        <v>0.8455856851520572</v>
      </c>
      <c r="L99" s="212">
        <v>70</v>
      </c>
      <c r="M99" s="185">
        <f>L99/K99</f>
        <v>82.7828583538666</v>
      </c>
      <c r="N99" s="45" t="s">
        <v>53</v>
      </c>
    </row>
    <row r="100" spans="4:14" ht="14.25" customHeight="1" thickBot="1" thickTop="1">
      <c r="D100" s="182">
        <f>(100-E100)*D$117</f>
        <v>728</v>
      </c>
      <c r="E100" s="219">
        <f>E99</f>
        <v>35</v>
      </c>
      <c r="F100" s="183">
        <f>(100-E100)*F$117/100</f>
        <v>11180</v>
      </c>
      <c r="G100" s="152">
        <f>G$117*E100/50</f>
        <v>846.2510000000001</v>
      </c>
      <c r="H100" s="154">
        <f>D100*G$117/1000</f>
        <v>880.10104</v>
      </c>
      <c r="I100" s="154"/>
      <c r="J100" s="149">
        <f>F100-H100-G100</f>
        <v>9453.64796</v>
      </c>
      <c r="K100" s="186">
        <f>J100/F100</f>
        <v>0.8455856851520572</v>
      </c>
      <c r="L100" s="187">
        <f>M100*K100</f>
        <v>76.10271166368516</v>
      </c>
      <c r="M100" s="212">
        <v>90</v>
      </c>
      <c r="N100" s="45" t="s">
        <v>54</v>
      </c>
    </row>
    <row r="101" ht="14.25" customHeight="1" thickTop="1"/>
    <row r="102" ht="14.25" customHeight="1"/>
    <row r="103" ht="14.25" customHeight="1"/>
    <row r="104" ht="14.25" customHeight="1"/>
    <row r="105" ht="14.25" customHeight="1"/>
    <row r="106" ht="14.25" customHeight="1"/>
    <row r="107" ht="14.25" customHeight="1"/>
    <row r="108" ht="14.25" customHeight="1"/>
    <row r="109" ht="14.25" customHeight="1"/>
    <row r="110" spans="3:16" ht="14.25" customHeight="1">
      <c r="C110" s="45"/>
      <c r="N110" s="133" t="s">
        <v>14</v>
      </c>
      <c r="O110" s="139" t="s">
        <v>15</v>
      </c>
      <c r="P110" s="133" t="str">
        <f>"from "&amp;N111&amp;"F"</f>
        <v>from 40F</v>
      </c>
    </row>
    <row r="111" spans="3:16" ht="14.25" customHeight="1">
      <c r="C111" s="45"/>
      <c r="E111" s="208" t="s">
        <v>158</v>
      </c>
      <c r="F111" s="209"/>
      <c r="G111" s="209"/>
      <c r="H111" s="210"/>
      <c r="I111" s="108"/>
      <c r="M111" s="140" t="s">
        <v>16</v>
      </c>
      <c r="N111" s="141">
        <v>40</v>
      </c>
      <c r="O111" s="139">
        <f>212-N111</f>
        <v>172</v>
      </c>
      <c r="P111" s="139" t="s">
        <v>17</v>
      </c>
    </row>
    <row r="112" spans="3:16" ht="14.25" customHeight="1">
      <c r="C112" s="45"/>
      <c r="M112" s="140" t="s">
        <v>18</v>
      </c>
      <c r="N112" s="142">
        <v>970</v>
      </c>
      <c r="O112" s="139">
        <f>N112</f>
        <v>970</v>
      </c>
      <c r="P112" s="139" t="s">
        <v>19</v>
      </c>
    </row>
    <row r="113" spans="3:16" ht="15">
      <c r="C113" s="45"/>
      <c r="M113" s="140" t="s">
        <v>20</v>
      </c>
      <c r="N113" s="141">
        <v>350</v>
      </c>
      <c r="O113" s="139">
        <f>(N113-212)*0.485</f>
        <v>66.92999999999999</v>
      </c>
      <c r="P113" s="139" t="str">
        <f>"to "&amp;N113&amp;"F"</f>
        <v>to 350F</v>
      </c>
    </row>
    <row r="114" spans="3:16" ht="15">
      <c r="C114" s="45"/>
      <c r="F114" s="2">
        <f>F117/2</f>
        <v>8600</v>
      </c>
      <c r="G114" s="174" t="s">
        <v>60</v>
      </c>
      <c r="M114" s="140" t="s">
        <v>21</v>
      </c>
      <c r="N114" s="133"/>
      <c r="O114" s="139">
        <f>SUM(O111:O113)</f>
        <v>1208.93</v>
      </c>
      <c r="P114" s="133"/>
    </row>
    <row r="115" spans="3:16" ht="15">
      <c r="C115" s="45"/>
      <c r="F115" s="188" t="s">
        <v>22</v>
      </c>
      <c r="G115" s="189"/>
      <c r="H115" s="189"/>
      <c r="I115" s="189"/>
      <c r="J115" s="189"/>
      <c r="K115" s="189"/>
      <c r="L115" s="190"/>
      <c r="N115" s="133"/>
      <c r="O115" s="133"/>
      <c r="P115" s="133"/>
    </row>
    <row r="116" spans="3:16" ht="15">
      <c r="C116" s="45"/>
      <c r="F116" s="139" t="s">
        <v>23</v>
      </c>
      <c r="G116" s="139" t="s">
        <v>24</v>
      </c>
      <c r="H116" s="133"/>
      <c r="I116" s="133"/>
      <c r="J116" s="133"/>
      <c r="K116" s="139" t="s">
        <v>56</v>
      </c>
      <c r="L116" s="133"/>
      <c r="M116" s="133"/>
      <c r="N116" s="133"/>
      <c r="O116" s="133"/>
      <c r="P116" s="133"/>
    </row>
    <row r="117" spans="3:16" ht="15">
      <c r="C117" s="45"/>
      <c r="D117" s="140">
        <v>11.2</v>
      </c>
      <c r="F117" s="213">
        <v>17200</v>
      </c>
      <c r="G117" s="139">
        <f>O114</f>
        <v>1208.93</v>
      </c>
      <c r="H117" s="133"/>
      <c r="I117" s="133"/>
      <c r="J117" s="133"/>
      <c r="K117" s="214">
        <v>0.86</v>
      </c>
      <c r="L117" s="133"/>
      <c r="M117" s="133"/>
      <c r="N117" s="133"/>
      <c r="O117" s="133"/>
      <c r="P117" s="133"/>
    </row>
    <row r="118" spans="3:16" ht="15.75" thickBot="1">
      <c r="C118" s="45"/>
      <c r="F118" s="133"/>
      <c r="G118" s="133"/>
      <c r="H118" s="133"/>
      <c r="I118" s="133"/>
      <c r="J118" s="133"/>
      <c r="K118" s="133"/>
      <c r="L118" s="133"/>
      <c r="M118" s="133"/>
      <c r="N118" s="133"/>
      <c r="O118" s="133"/>
      <c r="P118" s="133"/>
    </row>
    <row r="119" spans="3:17" ht="72" customHeight="1" thickTop="1">
      <c r="C119" s="145" t="s">
        <v>25</v>
      </c>
      <c r="D119" s="179" t="s">
        <v>26</v>
      </c>
      <c r="E119" s="191" t="s">
        <v>27</v>
      </c>
      <c r="F119" s="181" t="s">
        <v>28</v>
      </c>
      <c r="G119" s="151" t="s">
        <v>29</v>
      </c>
      <c r="H119" s="153" t="s">
        <v>30</v>
      </c>
      <c r="I119" s="153"/>
      <c r="J119" s="145" t="s">
        <v>31</v>
      </c>
      <c r="K119" s="145" t="s">
        <v>32</v>
      </c>
      <c r="L119" s="145" t="s">
        <v>33</v>
      </c>
      <c r="M119" s="145" t="s">
        <v>34</v>
      </c>
      <c r="N119" s="145" t="s">
        <v>35</v>
      </c>
      <c r="O119" s="145" t="s">
        <v>36</v>
      </c>
      <c r="P119" s="145" t="s">
        <v>37</v>
      </c>
      <c r="Q119" s="192" t="s">
        <v>59</v>
      </c>
    </row>
    <row r="120" spans="3:19" ht="15">
      <c r="C120" s="139">
        <f aca="true" t="shared" si="5" ref="C120:C131">20*E120</f>
        <v>0</v>
      </c>
      <c r="D120" s="182">
        <f>(100-E120)*D$117</f>
        <v>1120</v>
      </c>
      <c r="E120" s="193">
        <v>0</v>
      </c>
      <c r="F120" s="183">
        <f aca="true" t="shared" si="6" ref="F120:F136">(100-E120)*F$117/100</f>
        <v>17200</v>
      </c>
      <c r="G120" s="152">
        <f>G$117*E120/50</f>
        <v>0</v>
      </c>
      <c r="H120" s="154">
        <f>D120*G$117/1000</f>
        <v>1354.0016</v>
      </c>
      <c r="I120" s="154"/>
      <c r="J120" s="149">
        <f>F120-H120-G120</f>
        <v>15845.9984</v>
      </c>
      <c r="K120" s="149">
        <f aca="true" t="shared" si="7" ref="K120:K137">J120*K$117</f>
        <v>13627.558624</v>
      </c>
      <c r="L120" s="149">
        <v>13800</v>
      </c>
      <c r="M120" s="194" t="s">
        <v>38</v>
      </c>
      <c r="N120" s="186">
        <f>1-K120/L120</f>
        <v>0.012495751884058048</v>
      </c>
      <c r="O120" s="186">
        <f>K120/F120</f>
        <v>0.7922999199999999</v>
      </c>
      <c r="P120" s="194">
        <v>0.8</v>
      </c>
      <c r="Q120" s="194">
        <f>J120/F120</f>
        <v>0.921278976744186</v>
      </c>
      <c r="S120" s="195"/>
    </row>
    <row r="121" spans="3:17" ht="15">
      <c r="C121" s="139">
        <f t="shared" si="5"/>
        <v>100</v>
      </c>
      <c r="D121" s="182">
        <f aca="true" t="shared" si="8" ref="D121:D138">(100-E121)*D$117</f>
        <v>1064</v>
      </c>
      <c r="E121" s="215">
        <v>5</v>
      </c>
      <c r="F121" s="183">
        <f t="shared" si="6"/>
        <v>16340</v>
      </c>
      <c r="G121" s="152">
        <f aca="true" t="shared" si="9" ref="G121:G137">G$117*E121/50</f>
        <v>120.89300000000001</v>
      </c>
      <c r="H121" s="154">
        <f aca="true" t="shared" si="10" ref="H121:H137">D121*G$117/1000</f>
        <v>1286.30152</v>
      </c>
      <c r="I121" s="154"/>
      <c r="J121" s="149">
        <f aca="true" t="shared" si="11" ref="J121:J137">F121-H121-G121</f>
        <v>14932.805479999999</v>
      </c>
      <c r="K121" s="149">
        <f t="shared" si="7"/>
        <v>12842.2127128</v>
      </c>
      <c r="L121" s="149"/>
      <c r="M121" s="149"/>
      <c r="N121" s="149"/>
      <c r="O121" s="186">
        <f aca="true" t="shared" si="12" ref="O121:O137">K121/F121</f>
        <v>0.7859371305263158</v>
      </c>
      <c r="P121" s="149"/>
      <c r="Q121" s="194">
        <f>J121/F121</f>
        <v>0.9138803843329253</v>
      </c>
    </row>
    <row r="122" spans="3:17" ht="15">
      <c r="C122" s="139">
        <f t="shared" si="5"/>
        <v>160</v>
      </c>
      <c r="D122" s="182">
        <f t="shared" si="8"/>
        <v>1030.3999999999999</v>
      </c>
      <c r="E122" s="218">
        <v>8</v>
      </c>
      <c r="F122" s="183">
        <f t="shared" si="6"/>
        <v>15824</v>
      </c>
      <c r="G122" s="152">
        <f t="shared" si="9"/>
        <v>193.42880000000002</v>
      </c>
      <c r="H122" s="154">
        <f t="shared" si="10"/>
        <v>1245.6814719999998</v>
      </c>
      <c r="I122" s="154"/>
      <c r="J122" s="149">
        <f t="shared" si="11"/>
        <v>14384.889728</v>
      </c>
      <c r="K122" s="149">
        <f t="shared" si="7"/>
        <v>12371.00516608</v>
      </c>
      <c r="L122" s="149">
        <v>12600</v>
      </c>
      <c r="M122" s="217" t="s">
        <v>39</v>
      </c>
      <c r="N122" s="186">
        <f>1-K122/L122</f>
        <v>0.01817419316825397</v>
      </c>
      <c r="O122" s="186">
        <f t="shared" si="12"/>
        <v>0.7817874852173913</v>
      </c>
      <c r="P122" s="194">
        <v>0.79</v>
      </c>
      <c r="Q122" s="194">
        <f aca="true" t="shared" si="13" ref="Q122:Q137">J122/F122</f>
        <v>0.9090552153690596</v>
      </c>
    </row>
    <row r="123" spans="3:17" ht="15">
      <c r="C123" s="139">
        <f t="shared" si="5"/>
        <v>200</v>
      </c>
      <c r="D123" s="182">
        <f t="shared" si="8"/>
        <v>1007.9999999999999</v>
      </c>
      <c r="E123" s="215">
        <v>10</v>
      </c>
      <c r="F123" s="183">
        <f t="shared" si="6"/>
        <v>15480</v>
      </c>
      <c r="G123" s="152">
        <f t="shared" si="9"/>
        <v>241.78600000000003</v>
      </c>
      <c r="H123" s="154">
        <f t="shared" si="10"/>
        <v>1218.60144</v>
      </c>
      <c r="I123" s="154"/>
      <c r="J123" s="149">
        <f t="shared" si="11"/>
        <v>14019.61256</v>
      </c>
      <c r="K123" s="149">
        <f t="shared" si="7"/>
        <v>12056.8668016</v>
      </c>
      <c r="L123" s="149"/>
      <c r="M123" s="149"/>
      <c r="N123" s="149"/>
      <c r="O123" s="186">
        <f t="shared" si="12"/>
        <v>0.7788673644444444</v>
      </c>
      <c r="P123" s="149"/>
      <c r="Q123" s="194">
        <f t="shared" si="13"/>
        <v>0.9056597260981912</v>
      </c>
    </row>
    <row r="124" spans="3:17" ht="15">
      <c r="C124" s="139">
        <f t="shared" si="5"/>
        <v>260</v>
      </c>
      <c r="D124" s="182">
        <f t="shared" si="8"/>
        <v>974.4</v>
      </c>
      <c r="E124" s="218">
        <v>13</v>
      </c>
      <c r="F124" s="183">
        <f t="shared" si="6"/>
        <v>14964</v>
      </c>
      <c r="G124" s="152">
        <f t="shared" si="9"/>
        <v>314.3218</v>
      </c>
      <c r="H124" s="154">
        <f t="shared" si="10"/>
        <v>1177.981392</v>
      </c>
      <c r="I124" s="154"/>
      <c r="J124" s="149">
        <f t="shared" si="11"/>
        <v>13471.696808</v>
      </c>
      <c r="K124" s="149">
        <f t="shared" si="7"/>
        <v>11585.65925488</v>
      </c>
      <c r="L124" s="149">
        <v>12300</v>
      </c>
      <c r="M124" s="217" t="s">
        <v>40</v>
      </c>
      <c r="N124" s="186">
        <f>1-K124/L124</f>
        <v>0.05807648334308946</v>
      </c>
      <c r="O124" s="186">
        <f t="shared" si="12"/>
        <v>0.7742354487356322</v>
      </c>
      <c r="P124" s="194">
        <v>0.78</v>
      </c>
      <c r="Q124" s="194">
        <f t="shared" si="13"/>
        <v>0.9002737775995724</v>
      </c>
    </row>
    <row r="125" spans="3:17" ht="15">
      <c r="C125" s="139">
        <f t="shared" si="5"/>
        <v>300</v>
      </c>
      <c r="D125" s="182">
        <f t="shared" si="8"/>
        <v>951.9999999999999</v>
      </c>
      <c r="E125" s="215">
        <v>15</v>
      </c>
      <c r="F125" s="183">
        <f t="shared" si="6"/>
        <v>14620</v>
      </c>
      <c r="G125" s="152">
        <f t="shared" si="9"/>
        <v>362.67900000000003</v>
      </c>
      <c r="H125" s="154">
        <f t="shared" si="10"/>
        <v>1150.9013599999998</v>
      </c>
      <c r="I125" s="154"/>
      <c r="J125" s="149">
        <f t="shared" si="11"/>
        <v>13106.41964</v>
      </c>
      <c r="K125" s="149">
        <f t="shared" si="7"/>
        <v>11271.5208904</v>
      </c>
      <c r="L125" s="149"/>
      <c r="M125" s="149"/>
      <c r="N125" s="149"/>
      <c r="O125" s="186">
        <f t="shared" si="12"/>
        <v>0.7709658611764705</v>
      </c>
      <c r="P125" s="149"/>
      <c r="Q125" s="194">
        <f t="shared" si="13"/>
        <v>0.8964719316005472</v>
      </c>
    </row>
    <row r="126" spans="3:23" ht="15">
      <c r="C126" s="139">
        <f t="shared" si="5"/>
        <v>400</v>
      </c>
      <c r="D126" s="182">
        <f t="shared" si="8"/>
        <v>896</v>
      </c>
      <c r="E126" s="193">
        <v>20</v>
      </c>
      <c r="F126" s="183">
        <f t="shared" si="6"/>
        <v>13760</v>
      </c>
      <c r="G126" s="152">
        <f t="shared" si="9"/>
        <v>483.57200000000006</v>
      </c>
      <c r="H126" s="154">
        <f t="shared" si="10"/>
        <v>1083.20128</v>
      </c>
      <c r="I126" s="154"/>
      <c r="J126" s="149">
        <f t="shared" si="11"/>
        <v>12193.22672</v>
      </c>
      <c r="K126" s="149">
        <f t="shared" si="7"/>
        <v>10486.174979200001</v>
      </c>
      <c r="L126" s="149">
        <v>10560</v>
      </c>
      <c r="M126" s="194" t="s">
        <v>41</v>
      </c>
      <c r="N126" s="186">
        <f>1-K126/L126</f>
        <v>0.006991005757575719</v>
      </c>
      <c r="O126" s="186">
        <f t="shared" si="12"/>
        <v>0.7620766700000001</v>
      </c>
      <c r="P126" s="194">
        <v>0.77</v>
      </c>
      <c r="Q126" s="194">
        <f t="shared" si="13"/>
        <v>0.8861356627906977</v>
      </c>
      <c r="S126" s="195"/>
      <c r="W126" s="196"/>
    </row>
    <row r="127" spans="3:23" ht="15">
      <c r="C127" s="139">
        <f t="shared" si="5"/>
        <v>500</v>
      </c>
      <c r="D127" s="182">
        <f t="shared" si="8"/>
        <v>840</v>
      </c>
      <c r="E127" s="215">
        <v>25</v>
      </c>
      <c r="F127" s="183">
        <f t="shared" si="6"/>
        <v>12900</v>
      </c>
      <c r="G127" s="152">
        <f t="shared" si="9"/>
        <v>604.465</v>
      </c>
      <c r="H127" s="154">
        <f t="shared" si="10"/>
        <v>1015.5012</v>
      </c>
      <c r="I127" s="154"/>
      <c r="J127" s="149">
        <f t="shared" si="11"/>
        <v>11280.0338</v>
      </c>
      <c r="K127" s="149">
        <f t="shared" si="7"/>
        <v>9700.829068</v>
      </c>
      <c r="L127" s="149"/>
      <c r="M127" s="149"/>
      <c r="N127" s="149"/>
      <c r="O127" s="186">
        <f t="shared" si="12"/>
        <v>0.7520022533333333</v>
      </c>
      <c r="P127" s="149"/>
      <c r="Q127" s="194">
        <f t="shared" si="13"/>
        <v>0.8744212248062015</v>
      </c>
      <c r="W127" s="196"/>
    </row>
    <row r="128" spans="3:23" ht="15">
      <c r="C128" s="139">
        <f t="shared" si="5"/>
        <v>600</v>
      </c>
      <c r="D128" s="182">
        <f t="shared" si="8"/>
        <v>784</v>
      </c>
      <c r="E128" s="193">
        <v>30</v>
      </c>
      <c r="F128" s="183">
        <f t="shared" si="6"/>
        <v>12040</v>
      </c>
      <c r="G128" s="152">
        <f t="shared" si="9"/>
        <v>725.3580000000001</v>
      </c>
      <c r="H128" s="154">
        <f t="shared" si="10"/>
        <v>947.80112</v>
      </c>
      <c r="I128" s="154"/>
      <c r="J128" s="149">
        <f t="shared" si="11"/>
        <v>10366.84088</v>
      </c>
      <c r="K128" s="149">
        <f t="shared" si="7"/>
        <v>8915.483156799999</v>
      </c>
      <c r="L128" s="149">
        <v>8950</v>
      </c>
      <c r="M128" s="194" t="s">
        <v>42</v>
      </c>
      <c r="N128" s="186">
        <f>1-K128/L128</f>
        <v>0.003856630525139737</v>
      </c>
      <c r="O128" s="186">
        <f t="shared" si="12"/>
        <v>0.7404886342857142</v>
      </c>
      <c r="P128" s="194">
        <v>0.74</v>
      </c>
      <c r="Q128" s="194">
        <f t="shared" si="13"/>
        <v>0.8610332956810631</v>
      </c>
      <c r="S128" s="195"/>
      <c r="W128" s="196"/>
    </row>
    <row r="129" spans="3:23" ht="15">
      <c r="C129" s="139">
        <f t="shared" si="5"/>
        <v>700</v>
      </c>
      <c r="D129" s="182">
        <f t="shared" si="8"/>
        <v>728</v>
      </c>
      <c r="E129" s="215">
        <v>35</v>
      </c>
      <c r="F129" s="183">
        <f t="shared" si="6"/>
        <v>11180</v>
      </c>
      <c r="G129" s="152">
        <f t="shared" si="9"/>
        <v>846.2510000000001</v>
      </c>
      <c r="H129" s="154">
        <f t="shared" si="10"/>
        <v>880.10104</v>
      </c>
      <c r="I129" s="154"/>
      <c r="J129" s="149">
        <f t="shared" si="11"/>
        <v>9453.64796</v>
      </c>
      <c r="K129" s="149">
        <f t="shared" si="7"/>
        <v>8130.1372456</v>
      </c>
      <c r="L129" s="149"/>
      <c r="M129" s="149"/>
      <c r="N129" s="149"/>
      <c r="O129" s="186">
        <f t="shared" si="12"/>
        <v>0.7272036892307692</v>
      </c>
      <c r="P129" s="149"/>
      <c r="Q129" s="194">
        <f t="shared" si="13"/>
        <v>0.8455856851520572</v>
      </c>
      <c r="W129" s="196"/>
    </row>
    <row r="130" spans="3:23" ht="15">
      <c r="C130" s="139">
        <f t="shared" si="5"/>
        <v>800</v>
      </c>
      <c r="D130" s="182">
        <f t="shared" si="8"/>
        <v>672</v>
      </c>
      <c r="E130" s="193">
        <v>40</v>
      </c>
      <c r="F130" s="183">
        <f t="shared" si="6"/>
        <v>10320</v>
      </c>
      <c r="G130" s="152">
        <f t="shared" si="9"/>
        <v>967.1440000000001</v>
      </c>
      <c r="H130" s="154">
        <f t="shared" si="10"/>
        <v>812.40096</v>
      </c>
      <c r="I130" s="154"/>
      <c r="J130" s="149">
        <f t="shared" si="11"/>
        <v>8540.455039999999</v>
      </c>
      <c r="K130" s="149">
        <f t="shared" si="7"/>
        <v>7344.791334399999</v>
      </c>
      <c r="L130" s="197">
        <v>7300</v>
      </c>
      <c r="M130" s="197" t="s">
        <v>43</v>
      </c>
      <c r="N130" s="186">
        <f>1-K130/L130</f>
        <v>-0.006135799232876549</v>
      </c>
      <c r="O130" s="186">
        <f t="shared" si="12"/>
        <v>0.7117045866666666</v>
      </c>
      <c r="P130" s="198">
        <v>0.71</v>
      </c>
      <c r="Q130" s="194">
        <f t="shared" si="13"/>
        <v>0.827563472868217</v>
      </c>
      <c r="S130" s="195"/>
      <c r="W130" s="196"/>
    </row>
    <row r="131" spans="3:23" ht="15">
      <c r="C131" s="139">
        <f t="shared" si="5"/>
        <v>900</v>
      </c>
      <c r="D131" s="182">
        <f t="shared" si="8"/>
        <v>616</v>
      </c>
      <c r="E131" s="215">
        <v>45</v>
      </c>
      <c r="F131" s="183">
        <f t="shared" si="6"/>
        <v>9460</v>
      </c>
      <c r="G131" s="152">
        <f t="shared" si="9"/>
        <v>1088.037</v>
      </c>
      <c r="H131" s="154">
        <f t="shared" si="10"/>
        <v>744.70088</v>
      </c>
      <c r="I131" s="154"/>
      <c r="J131" s="149">
        <f t="shared" si="11"/>
        <v>7627.262119999999</v>
      </c>
      <c r="K131" s="149">
        <f t="shared" si="7"/>
        <v>6559.4454232</v>
      </c>
      <c r="L131" s="149"/>
      <c r="M131" s="149"/>
      <c r="N131" s="149"/>
      <c r="O131" s="186">
        <f t="shared" si="12"/>
        <v>0.6933874654545454</v>
      </c>
      <c r="P131" s="149"/>
      <c r="Q131" s="194">
        <f t="shared" si="13"/>
        <v>0.8062644947145877</v>
      </c>
      <c r="W131" s="196"/>
    </row>
    <row r="132" spans="3:23" ht="15">
      <c r="C132" s="139">
        <f aca="true" t="shared" si="14" ref="C132:C138">20*E132</f>
        <v>1000</v>
      </c>
      <c r="D132" s="182">
        <f t="shared" si="8"/>
        <v>560</v>
      </c>
      <c r="E132" s="193">
        <v>50</v>
      </c>
      <c r="F132" s="183">
        <f t="shared" si="6"/>
        <v>8600</v>
      </c>
      <c r="G132" s="152">
        <f t="shared" si="9"/>
        <v>1208.93</v>
      </c>
      <c r="H132" s="154">
        <f t="shared" si="10"/>
        <v>677.0008</v>
      </c>
      <c r="I132" s="154"/>
      <c r="J132" s="149">
        <f t="shared" si="11"/>
        <v>6714.0692</v>
      </c>
      <c r="K132" s="149">
        <f t="shared" si="7"/>
        <v>5774.099512</v>
      </c>
      <c r="L132" s="149">
        <v>5740</v>
      </c>
      <c r="M132" s="194" t="s">
        <v>44</v>
      </c>
      <c r="N132" s="186">
        <f>1-K132/L132</f>
        <v>-0.0059406815331009</v>
      </c>
      <c r="O132" s="186">
        <f t="shared" si="12"/>
        <v>0.67140692</v>
      </c>
      <c r="P132" s="194">
        <v>0.67</v>
      </c>
      <c r="Q132" s="194">
        <f t="shared" si="13"/>
        <v>0.7807057209302325</v>
      </c>
      <c r="S132" s="195"/>
      <c r="W132" s="196"/>
    </row>
    <row r="133" spans="3:23" ht="15">
      <c r="C133" s="139">
        <f t="shared" si="14"/>
        <v>1100</v>
      </c>
      <c r="D133" s="182">
        <f t="shared" si="8"/>
        <v>503.99999999999994</v>
      </c>
      <c r="E133" s="215">
        <v>55</v>
      </c>
      <c r="F133" s="183">
        <f t="shared" si="6"/>
        <v>7740</v>
      </c>
      <c r="G133" s="152">
        <f t="shared" si="9"/>
        <v>1329.823</v>
      </c>
      <c r="H133" s="154">
        <f t="shared" si="10"/>
        <v>609.30072</v>
      </c>
      <c r="I133" s="154"/>
      <c r="J133" s="149">
        <f t="shared" si="11"/>
        <v>5800.8762799999995</v>
      </c>
      <c r="K133" s="149">
        <f t="shared" si="7"/>
        <v>4988.7536008</v>
      </c>
      <c r="L133" s="149"/>
      <c r="M133" s="149"/>
      <c r="N133" s="149"/>
      <c r="O133" s="186">
        <f t="shared" si="12"/>
        <v>0.6445418088888889</v>
      </c>
      <c r="P133" s="149"/>
      <c r="Q133" s="194">
        <f t="shared" si="13"/>
        <v>0.7494672196382428</v>
      </c>
      <c r="W133" s="196"/>
    </row>
    <row r="134" spans="3:17" ht="15">
      <c r="C134" s="139">
        <f t="shared" si="14"/>
        <v>1200</v>
      </c>
      <c r="D134" s="182">
        <f t="shared" si="8"/>
        <v>448</v>
      </c>
      <c r="E134" s="193">
        <v>60</v>
      </c>
      <c r="F134" s="183">
        <f t="shared" si="6"/>
        <v>6880</v>
      </c>
      <c r="G134" s="152">
        <f t="shared" si="9"/>
        <v>1450.7160000000001</v>
      </c>
      <c r="H134" s="154">
        <f t="shared" si="10"/>
        <v>541.60064</v>
      </c>
      <c r="I134" s="154"/>
      <c r="J134" s="149">
        <f t="shared" si="11"/>
        <v>4887.68336</v>
      </c>
      <c r="K134" s="149">
        <f t="shared" si="7"/>
        <v>4203.4076896</v>
      </c>
      <c r="L134" s="197">
        <v>4100</v>
      </c>
      <c r="M134" s="197" t="s">
        <v>45</v>
      </c>
      <c r="N134" s="186">
        <f>1-K134/L134</f>
        <v>-0.025221387707317078</v>
      </c>
      <c r="O134" s="186">
        <f t="shared" si="12"/>
        <v>0.61096042</v>
      </c>
      <c r="P134" s="198">
        <v>0.6</v>
      </c>
      <c r="Q134" s="194">
        <f t="shared" si="13"/>
        <v>0.7104190930232558</v>
      </c>
    </row>
    <row r="135" spans="3:17" ht="15">
      <c r="C135" s="139">
        <f t="shared" si="14"/>
        <v>1735.2300979293618</v>
      </c>
      <c r="D135" s="182">
        <f t="shared" si="8"/>
        <v>148.2711451595573</v>
      </c>
      <c r="E135" s="216">
        <v>86.7615048964681</v>
      </c>
      <c r="F135" s="183">
        <f t="shared" si="6"/>
        <v>2277.0211578074873</v>
      </c>
      <c r="G135" s="152">
        <f t="shared" si="9"/>
        <v>2097.7717222897436</v>
      </c>
      <c r="H135" s="154">
        <f t="shared" si="10"/>
        <v>179.24943551774365</v>
      </c>
      <c r="I135" s="154"/>
      <c r="J135" s="149">
        <f t="shared" si="11"/>
        <v>0</v>
      </c>
      <c r="K135" s="149">
        <f t="shared" si="7"/>
        <v>0</v>
      </c>
      <c r="L135" s="149"/>
      <c r="M135" s="149"/>
      <c r="N135" s="149"/>
      <c r="O135" s="186">
        <f t="shared" si="12"/>
        <v>0</v>
      </c>
      <c r="P135" s="149"/>
      <c r="Q135" s="194">
        <f t="shared" si="13"/>
        <v>0</v>
      </c>
    </row>
    <row r="136" spans="3:39" ht="15">
      <c r="C136" s="139">
        <f t="shared" si="14"/>
        <v>245.9500452544023</v>
      </c>
      <c r="D136" s="182">
        <f t="shared" si="8"/>
        <v>982.2679746575346</v>
      </c>
      <c r="E136" s="215">
        <v>12.297502262720116</v>
      </c>
      <c r="F136" s="183">
        <f t="shared" si="6"/>
        <v>15084.82961081214</v>
      </c>
      <c r="G136" s="152">
        <f t="shared" si="9"/>
        <v>297.3363882094046</v>
      </c>
      <c r="H136" s="154">
        <f t="shared" si="10"/>
        <v>1187.4932226027333</v>
      </c>
      <c r="I136" s="154"/>
      <c r="J136" s="149">
        <f t="shared" si="11"/>
        <v>13600</v>
      </c>
      <c r="K136" s="149">
        <f t="shared" si="7"/>
        <v>11696</v>
      </c>
      <c r="L136" s="149"/>
      <c r="M136" s="149"/>
      <c r="N136" s="149"/>
      <c r="O136" s="186">
        <f t="shared" si="12"/>
        <v>0.7753484992377259</v>
      </c>
      <c r="P136" s="149"/>
      <c r="Q136" s="194">
        <f t="shared" si="13"/>
        <v>0.9015680223694487</v>
      </c>
      <c r="AM136" s="199"/>
    </row>
    <row r="137" spans="3:17" ht="60" customHeight="1" thickBot="1">
      <c r="C137" s="200">
        <f t="shared" si="14"/>
        <v>800</v>
      </c>
      <c r="D137" s="201">
        <f t="shared" si="8"/>
        <v>672</v>
      </c>
      <c r="E137" s="202">
        <f>E41</f>
        <v>40</v>
      </c>
      <c r="F137" s="203">
        <f>(100-E137)*F$41/50</f>
        <v>10320</v>
      </c>
      <c r="G137" s="204">
        <f t="shared" si="9"/>
        <v>967.1440000000001</v>
      </c>
      <c r="H137" s="205">
        <f t="shared" si="10"/>
        <v>812.40096</v>
      </c>
      <c r="I137" s="205"/>
      <c r="J137" s="204">
        <f t="shared" si="11"/>
        <v>8540.455039999999</v>
      </c>
      <c r="K137" s="204">
        <f t="shared" si="7"/>
        <v>7344.791334399999</v>
      </c>
      <c r="L137" s="204"/>
      <c r="M137" s="204"/>
      <c r="N137" s="204"/>
      <c r="O137" s="206">
        <f t="shared" si="12"/>
        <v>0.7117045866666666</v>
      </c>
      <c r="P137" s="204"/>
      <c r="Q137" s="207">
        <f t="shared" si="13"/>
        <v>0.827563472868217</v>
      </c>
    </row>
    <row r="138" spans="3:17" ht="16.5" thickBot="1" thickTop="1">
      <c r="C138" s="200">
        <f t="shared" si="14"/>
        <v>800</v>
      </c>
      <c r="D138" s="201">
        <f t="shared" si="8"/>
        <v>672</v>
      </c>
      <c r="E138" s="202">
        <f>E42</f>
        <v>40</v>
      </c>
      <c r="F138" s="203">
        <f>(100-E138)*F$41/50</f>
        <v>10320</v>
      </c>
      <c r="G138" s="204">
        <f>G$117*E138/50</f>
        <v>967.1440000000001</v>
      </c>
      <c r="H138" s="205">
        <f>D138*G$117/1000</f>
        <v>812.40096</v>
      </c>
      <c r="I138" s="205"/>
      <c r="J138" s="204">
        <f>F138-H138-G138</f>
        <v>8540.455039999999</v>
      </c>
      <c r="K138" s="204">
        <f>F138*O138</f>
        <v>4128</v>
      </c>
      <c r="L138" s="204"/>
      <c r="M138" s="204"/>
      <c r="N138" s="204"/>
      <c r="O138" s="206">
        <f>J42</f>
        <v>0.4</v>
      </c>
      <c r="P138" s="204"/>
      <c r="Q138" s="207">
        <f>J138/F138</f>
        <v>0.827563472868217</v>
      </c>
    </row>
    <row r="139" ht="15.75" thickTop="1"/>
  </sheetData>
  <sheetProtection/>
  <mergeCells count="9">
    <mergeCell ref="D59:J59"/>
    <mergeCell ref="D56:J56"/>
    <mergeCell ref="D57:J57"/>
    <mergeCell ref="D1:J1"/>
    <mergeCell ref="E32:E33"/>
    <mergeCell ref="D32:D33"/>
    <mergeCell ref="F29:H29"/>
    <mergeCell ref="D2:J2"/>
    <mergeCell ref="D3:J3"/>
  </mergeCells>
  <dataValidations count="1">
    <dataValidation type="list" allowBlank="1" showInputMessage="1" showErrorMessage="1" sqref="D30">
      <formula1>$D$34:$D$55</formula1>
    </dataValidation>
  </dataValidations>
  <hyperlinks>
    <hyperlink ref="D57" r:id="rId1" display="http://www.fpl.fs.fed.us/documnts/techline/fuel-value-calculator.pdf"/>
  </hyperlinks>
  <printOptions gridLines="1"/>
  <pageMargins left="0.75" right="0.75" top="1" bottom="1" header="0.5" footer="0.5"/>
  <pageSetup fitToHeight="1" fitToWidth="1" horizontalDpi="600" verticalDpi="600" orientation="landscape" paperSize="52" r:id="rId5"/>
  <drawing r:id="rId4"/>
  <legacyDrawing r:id="rId3"/>
</worksheet>
</file>

<file path=xl/worksheets/sheet2.xml><?xml version="1.0" encoding="utf-8"?>
<worksheet xmlns="http://schemas.openxmlformats.org/spreadsheetml/2006/main" xmlns:r="http://schemas.openxmlformats.org/officeDocument/2006/relationships">
  <sheetPr>
    <tabColor rgb="FF66FFFF"/>
  </sheetPr>
  <dimension ref="A1:J106"/>
  <sheetViews>
    <sheetView showGridLines="0" showRowColHeaders="0" zoomScale="85" zoomScaleNormal="85" zoomScalePageLayoutView="0" workbookViewId="0" topLeftCell="A1">
      <selection activeCell="A7" sqref="A7"/>
    </sheetView>
  </sheetViews>
  <sheetFormatPr defaultColWidth="9.140625" defaultRowHeight="12.75"/>
  <cols>
    <col min="1" max="1" width="44.28125" style="45" customWidth="1"/>
    <col min="2" max="2" width="3.7109375" style="45" customWidth="1"/>
    <col min="3" max="3" width="11.421875" style="45" customWidth="1"/>
    <col min="4" max="4" width="24.7109375" style="45" customWidth="1"/>
    <col min="5" max="6" width="22.7109375" style="45" customWidth="1"/>
    <col min="7" max="7" width="28.7109375" style="45" customWidth="1"/>
    <col min="8" max="8" width="14.8515625" style="45" customWidth="1"/>
    <col min="9" max="9" width="22.421875" style="45" customWidth="1"/>
    <col min="10" max="16384" width="8.8515625" style="45" customWidth="1"/>
  </cols>
  <sheetData>
    <row r="1" spans="1:7" s="38" customFormat="1" ht="27" customHeight="1">
      <c r="A1" s="37" t="s">
        <v>116</v>
      </c>
      <c r="C1" s="240" t="s">
        <v>119</v>
      </c>
      <c r="D1" s="241"/>
      <c r="E1" s="241"/>
      <c r="F1" s="241"/>
      <c r="G1" s="242"/>
    </row>
    <row r="2" spans="2:8" s="39" customFormat="1" ht="13.5" customHeight="1">
      <c r="B2" s="40" t="s">
        <v>117</v>
      </c>
      <c r="C2" s="243" t="s">
        <v>118</v>
      </c>
      <c r="D2" s="244"/>
      <c r="E2" s="244"/>
      <c r="F2" s="244"/>
      <c r="G2" s="245"/>
      <c r="H2" s="41"/>
    </row>
    <row r="3" spans="2:8" s="42" customFormat="1" ht="23.25" customHeight="1">
      <c r="B3" s="43"/>
      <c r="C3" s="246" t="s">
        <v>61</v>
      </c>
      <c r="D3" s="235"/>
      <c r="E3" s="235"/>
      <c r="F3" s="235"/>
      <c r="G3" s="236"/>
      <c r="H3" s="44"/>
    </row>
    <row r="4" spans="3:7" ht="15.75" customHeight="1">
      <c r="C4" s="247" t="s">
        <v>120</v>
      </c>
      <c r="D4" s="248"/>
      <c r="E4" s="248"/>
      <c r="F4" s="248"/>
      <c r="G4" s="249"/>
    </row>
    <row r="5" spans="2:7" s="46" customFormat="1" ht="15">
      <c r="B5" s="47"/>
      <c r="C5" s="250" t="s">
        <v>145</v>
      </c>
      <c r="D5" s="251"/>
      <c r="E5" s="251"/>
      <c r="F5" s="251"/>
      <c r="G5" s="252"/>
    </row>
    <row r="6" spans="2:8" ht="16.5" customHeight="1">
      <c r="B6" s="138">
        <v>6</v>
      </c>
      <c r="C6" s="48"/>
      <c r="D6" s="221"/>
      <c r="E6" s="50"/>
      <c r="F6" s="51" t="s">
        <v>86</v>
      </c>
      <c r="G6" s="7"/>
      <c r="H6" s="50"/>
    </row>
    <row r="7" spans="1:8" ht="16.5" customHeight="1">
      <c r="A7" s="45" t="s">
        <v>155</v>
      </c>
      <c r="B7" s="138">
        <v>7</v>
      </c>
      <c r="C7" s="52" t="s">
        <v>87</v>
      </c>
      <c r="D7" s="53" t="s">
        <v>88</v>
      </c>
      <c r="E7" s="54" t="s">
        <v>89</v>
      </c>
      <c r="F7" s="54" t="s">
        <v>90</v>
      </c>
      <c r="G7" s="55" t="s">
        <v>126</v>
      </c>
      <c r="H7" s="50"/>
    </row>
    <row r="8" spans="2:9" ht="16.5" customHeight="1">
      <c r="B8" s="138">
        <v>8</v>
      </c>
      <c r="C8" s="56" t="s">
        <v>91</v>
      </c>
      <c r="D8" s="3" t="s">
        <v>92</v>
      </c>
      <c r="E8" s="57">
        <v>0.1</v>
      </c>
      <c r="F8" s="58">
        <v>25</v>
      </c>
      <c r="G8" s="59">
        <v>1</v>
      </c>
      <c r="H8" s="60"/>
      <c r="I8" s="39"/>
    </row>
    <row r="9" spans="2:8" ht="16.5" customHeight="1">
      <c r="B9" s="138">
        <v>9</v>
      </c>
      <c r="C9" s="3" t="s">
        <v>93</v>
      </c>
      <c r="D9" s="3" t="s">
        <v>94</v>
      </c>
      <c r="E9" s="61">
        <v>12</v>
      </c>
      <c r="F9" s="61">
        <v>24</v>
      </c>
      <c r="G9" s="62">
        <v>24</v>
      </c>
      <c r="H9" s="63"/>
    </row>
    <row r="10" spans="2:8" ht="16.5" customHeight="1">
      <c r="B10" s="138">
        <v>10</v>
      </c>
      <c r="C10" s="3" t="s">
        <v>93</v>
      </c>
      <c r="D10" s="3" t="s">
        <v>95</v>
      </c>
      <c r="E10" s="64">
        <v>6</v>
      </c>
      <c r="F10" s="64">
        <v>7</v>
      </c>
      <c r="G10" s="65">
        <v>7</v>
      </c>
      <c r="H10" s="50"/>
    </row>
    <row r="11" spans="2:8" ht="16.5" customHeight="1">
      <c r="B11" s="138">
        <v>11</v>
      </c>
      <c r="C11" s="3" t="s">
        <v>96</v>
      </c>
      <c r="D11" s="3" t="s">
        <v>127</v>
      </c>
      <c r="E11" s="66">
        <v>15</v>
      </c>
      <c r="F11" s="66">
        <v>8</v>
      </c>
      <c r="G11" s="67">
        <v>11</v>
      </c>
      <c r="H11" s="50"/>
    </row>
    <row r="12" spans="2:8" ht="16.5" customHeight="1">
      <c r="B12" s="138">
        <v>12</v>
      </c>
      <c r="C12" s="3" t="s">
        <v>97</v>
      </c>
      <c r="D12" s="3" t="s">
        <v>121</v>
      </c>
      <c r="E12" s="68">
        <v>60</v>
      </c>
      <c r="F12" s="68">
        <v>25</v>
      </c>
      <c r="G12" s="69">
        <v>54</v>
      </c>
      <c r="H12" s="50"/>
    </row>
    <row r="13" spans="2:8" ht="16.5" customHeight="1">
      <c r="B13" s="138">
        <v>13</v>
      </c>
      <c r="C13" s="70" t="s">
        <v>131</v>
      </c>
      <c r="D13" s="71" t="s">
        <v>132</v>
      </c>
      <c r="E13" s="72">
        <v>0</v>
      </c>
      <c r="F13" s="72">
        <v>35</v>
      </c>
      <c r="G13" s="73">
        <v>47</v>
      </c>
      <c r="H13" s="50"/>
    </row>
    <row r="14" spans="2:8" ht="16.5" customHeight="1">
      <c r="B14" s="138">
        <v>14</v>
      </c>
      <c r="C14" s="71" t="s">
        <v>133</v>
      </c>
      <c r="D14" s="74" t="s">
        <v>137</v>
      </c>
      <c r="E14" s="72">
        <v>21</v>
      </c>
      <c r="F14" s="72">
        <v>26</v>
      </c>
      <c r="G14" s="73">
        <v>20</v>
      </c>
      <c r="H14" s="50"/>
    </row>
    <row r="15" spans="2:8" ht="16.5" customHeight="1">
      <c r="B15" s="138">
        <v>15</v>
      </c>
      <c r="C15" s="75"/>
      <c r="D15" s="76"/>
      <c r="E15" s="77"/>
      <c r="F15" s="51" t="s">
        <v>98</v>
      </c>
      <c r="G15" s="78"/>
      <c r="H15" s="50"/>
    </row>
    <row r="16" spans="2:8" ht="16.5" customHeight="1">
      <c r="B16" s="138">
        <v>16</v>
      </c>
      <c r="C16" s="52" t="s">
        <v>87</v>
      </c>
      <c r="D16" s="53" t="s">
        <v>88</v>
      </c>
      <c r="E16" s="54" t="s">
        <v>89</v>
      </c>
      <c r="F16" s="54" t="s">
        <v>90</v>
      </c>
      <c r="G16" s="79" t="s">
        <v>126</v>
      </c>
      <c r="H16" s="50"/>
    </row>
    <row r="17" spans="2:8" ht="16.5" customHeight="1">
      <c r="B17" s="138">
        <v>17</v>
      </c>
      <c r="C17" s="3" t="s">
        <v>99</v>
      </c>
      <c r="D17" s="3" t="s">
        <v>100</v>
      </c>
      <c r="E17" s="80">
        <f>E8*E9*E10*52.2*1000</f>
        <v>375840.0000000001</v>
      </c>
      <c r="F17" s="80">
        <f>F8*F9*F10*52.2*1000</f>
        <v>219240000</v>
      </c>
      <c r="G17" s="81">
        <f>G8*G9*G10*52.2*1000</f>
        <v>8769600</v>
      </c>
      <c r="H17" s="82"/>
    </row>
    <row r="18" spans="2:8" ht="16.5" customHeight="1">
      <c r="B18" s="138">
        <v>18</v>
      </c>
      <c r="C18" s="3" t="s">
        <v>101</v>
      </c>
      <c r="D18" s="3" t="s">
        <v>102</v>
      </c>
      <c r="E18" s="83">
        <f>E17*292.8/(E14*E100)</f>
        <v>330.7007419975147</v>
      </c>
      <c r="F18" s="84">
        <f>F17*292.8/(F14*F100)</f>
        <v>261166.8747085112</v>
      </c>
      <c r="G18" s="85">
        <f>G17*292.8/(G14*G100)</f>
        <v>17679.3183748806</v>
      </c>
      <c r="H18" s="86">
        <f>G18/365/G10*7</f>
        <v>48.436488698303016</v>
      </c>
    </row>
    <row r="19" spans="2:8" ht="16.5" customHeight="1">
      <c r="B19" s="138">
        <v>19</v>
      </c>
      <c r="C19" s="87" t="s">
        <v>103</v>
      </c>
      <c r="D19" s="88" t="s">
        <v>100</v>
      </c>
      <c r="E19" s="89">
        <f>E17*E11/100</f>
        <v>56376.00000000002</v>
      </c>
      <c r="F19" s="89">
        <f>F17*F11/100</f>
        <v>17539200</v>
      </c>
      <c r="G19" s="90">
        <f>G17*G11/100</f>
        <v>964656</v>
      </c>
      <c r="H19" s="50"/>
    </row>
    <row r="20" spans="2:8" ht="16.5" customHeight="1">
      <c r="B20" s="138">
        <v>20</v>
      </c>
      <c r="C20" s="3" t="s">
        <v>97</v>
      </c>
      <c r="D20" s="3" t="s">
        <v>102</v>
      </c>
      <c r="E20" s="89">
        <f>E18*E12</f>
        <v>19842.044519850882</v>
      </c>
      <c r="F20" s="89">
        <f>F18*F12</f>
        <v>6529171.86771278</v>
      </c>
      <c r="G20" s="90">
        <f>G18*G12</f>
        <v>954683.1922435524</v>
      </c>
      <c r="H20" s="50"/>
    </row>
    <row r="21" spans="2:8" ht="16.5" customHeight="1">
      <c r="B21" s="138">
        <v>21</v>
      </c>
      <c r="C21" s="91" t="s">
        <v>104</v>
      </c>
      <c r="D21" s="3" t="s">
        <v>105</v>
      </c>
      <c r="E21" s="92">
        <f>E19-E20</f>
        <v>36533.95548014914</v>
      </c>
      <c r="F21" s="92">
        <f>F19-F20</f>
        <v>11010028.13228722</v>
      </c>
      <c r="G21" s="93">
        <f>G19-G20</f>
        <v>9972.807756447583</v>
      </c>
      <c r="H21" s="50"/>
    </row>
    <row r="22" spans="2:8" ht="16.5" customHeight="1">
      <c r="B22" s="138">
        <v>22</v>
      </c>
      <c r="C22" s="48"/>
      <c r="D22" s="49"/>
      <c r="E22" s="77"/>
      <c r="F22" s="94" t="s">
        <v>106</v>
      </c>
      <c r="G22" s="78"/>
      <c r="H22" s="50"/>
    </row>
    <row r="23" spans="2:8" ht="16.5" customHeight="1">
      <c r="B23" s="138">
        <v>23</v>
      </c>
      <c r="C23" s="95" t="s">
        <v>134</v>
      </c>
      <c r="D23" s="96" t="s">
        <v>146</v>
      </c>
      <c r="E23" s="97">
        <f>E8*3.415*10^8/E14</f>
        <v>1626190.4761904762</v>
      </c>
      <c r="F23" s="97">
        <f>F8*3.415*10^8/F14</f>
        <v>328365384.61538464</v>
      </c>
      <c r="G23" s="98">
        <f>G8*3.415*10^8/G14</f>
        <v>17075000</v>
      </c>
      <c r="H23" s="50"/>
    </row>
    <row r="24" spans="2:8" ht="16.5" customHeight="1">
      <c r="B24" s="138">
        <v>24</v>
      </c>
      <c r="C24" s="95" t="s">
        <v>107</v>
      </c>
      <c r="D24" s="96" t="s">
        <v>146</v>
      </c>
      <c r="E24" s="99">
        <f>E23*(100-E14)/100</f>
        <v>1284690.4761904762</v>
      </c>
      <c r="F24" s="99">
        <f>F23*(100-F14)/100</f>
        <v>242990384.61538464</v>
      </c>
      <c r="G24" s="98">
        <f>G23*(100-G14)/100</f>
        <v>13660000</v>
      </c>
      <c r="H24" s="50"/>
    </row>
    <row r="25" spans="2:8" ht="16.5" customHeight="1">
      <c r="B25" s="138">
        <v>25</v>
      </c>
      <c r="C25" s="95" t="s">
        <v>107</v>
      </c>
      <c r="D25" s="100" t="s">
        <v>108</v>
      </c>
      <c r="E25" s="101">
        <f>E24*E9*E10*52.2/100000</f>
        <v>48283.80685714286</v>
      </c>
      <c r="F25" s="101">
        <f>F24*F9*F10*52.2/100000</f>
        <v>21309284.769230776</v>
      </c>
      <c r="G25" s="102">
        <f>G24*G9*G10*52.2/100000</f>
        <v>1197927.36</v>
      </c>
      <c r="H25" s="50"/>
    </row>
    <row r="26" spans="2:8" ht="16.5" customHeight="1">
      <c r="B26" s="138">
        <v>26</v>
      </c>
      <c r="C26" s="95" t="s">
        <v>107</v>
      </c>
      <c r="D26" s="103" t="s">
        <v>147</v>
      </c>
      <c r="E26" s="104">
        <f>E25/10</f>
        <v>4828.380685714286</v>
      </c>
      <c r="F26" s="104">
        <f>F25/10</f>
        <v>2130928.4769230774</v>
      </c>
      <c r="G26" s="105">
        <f>G25/10</f>
        <v>119792.736</v>
      </c>
      <c r="H26" s="50"/>
    </row>
    <row r="27" spans="2:10" ht="16.5" customHeight="1">
      <c r="B27" s="138">
        <v>27</v>
      </c>
      <c r="C27" s="56" t="s">
        <v>122</v>
      </c>
      <c r="D27" s="7"/>
      <c r="E27" s="106">
        <v>29.94</v>
      </c>
      <c r="F27" s="106">
        <v>10</v>
      </c>
      <c r="G27" s="107">
        <f>'Fuel Calc'!G31</f>
        <v>17.073170731707318</v>
      </c>
      <c r="H27" s="60"/>
      <c r="I27" s="108"/>
      <c r="J27" s="108"/>
    </row>
    <row r="28" spans="2:8" ht="16.5" customHeight="1">
      <c r="B28" s="138">
        <v>28</v>
      </c>
      <c r="C28" s="56" t="s">
        <v>123</v>
      </c>
      <c r="D28" s="7"/>
      <c r="E28" s="109">
        <f>E27*E26</f>
        <v>144561.71773028575</v>
      </c>
      <c r="F28" s="109">
        <f>F27*F26</f>
        <v>21309284.769230776</v>
      </c>
      <c r="G28" s="110">
        <f>G27*G26</f>
        <v>2045241.8341463415</v>
      </c>
      <c r="H28" s="50"/>
    </row>
    <row r="29" spans="2:8" ht="16.5" customHeight="1">
      <c r="B29" s="138">
        <v>29</v>
      </c>
      <c r="C29" s="56" t="s">
        <v>109</v>
      </c>
      <c r="D29" s="7"/>
      <c r="E29" s="111">
        <v>25</v>
      </c>
      <c r="F29" s="111">
        <v>50</v>
      </c>
      <c r="G29" s="112">
        <v>50</v>
      </c>
      <c r="H29" s="50"/>
    </row>
    <row r="30" spans="2:8" ht="16.5" customHeight="1">
      <c r="B30" s="138">
        <v>30</v>
      </c>
      <c r="C30" s="56" t="s">
        <v>124</v>
      </c>
      <c r="D30" s="7"/>
      <c r="E30" s="113">
        <f>E29*E28/100</f>
        <v>36140.429432571436</v>
      </c>
      <c r="F30" s="113">
        <f>F29*F28/100</f>
        <v>10654642.384615388</v>
      </c>
      <c r="G30" s="114">
        <f>G29*G28/100</f>
        <v>1022620.9170731709</v>
      </c>
      <c r="H30" s="50"/>
    </row>
    <row r="31" spans="2:7" ht="16.5" customHeight="1">
      <c r="B31" s="138">
        <v>31</v>
      </c>
      <c r="C31" s="56" t="s">
        <v>110</v>
      </c>
      <c r="D31" s="7"/>
      <c r="E31" s="113">
        <f>E30+E21</f>
        <v>72674.38491272058</v>
      </c>
      <c r="F31" s="113">
        <f>F29*F28/100+F21</f>
        <v>21664670.516902607</v>
      </c>
      <c r="G31" s="114">
        <f>G29*G28/100+G21</f>
        <v>1032593.7248296185</v>
      </c>
    </row>
    <row r="32" spans="2:7" ht="16.5" customHeight="1">
      <c r="B32" s="138">
        <v>32</v>
      </c>
      <c r="C32" s="48"/>
      <c r="D32" s="221"/>
      <c r="E32" s="115" t="s">
        <v>143</v>
      </c>
      <c r="F32" s="116"/>
      <c r="G32" s="117"/>
    </row>
    <row r="33" spans="2:7" ht="16.5" customHeight="1">
      <c r="B33" s="138">
        <v>33</v>
      </c>
      <c r="C33" s="56" t="s">
        <v>111</v>
      </c>
      <c r="D33" s="7"/>
      <c r="E33" s="118">
        <f>E24*0.7</f>
        <v>899283.3333333333</v>
      </c>
      <c r="F33" s="118">
        <f>F24*0.7</f>
        <v>170093269.23076925</v>
      </c>
      <c r="G33" s="98">
        <f>G24*0.7</f>
        <v>9562000</v>
      </c>
    </row>
    <row r="34" spans="2:7" ht="16.5" customHeight="1">
      <c r="B34" s="138">
        <v>34</v>
      </c>
      <c r="C34" s="56" t="s">
        <v>128</v>
      </c>
      <c r="D34" s="7"/>
      <c r="E34" s="4">
        <v>10</v>
      </c>
      <c r="F34" s="4">
        <v>13</v>
      </c>
      <c r="G34" s="33">
        <v>12</v>
      </c>
    </row>
    <row r="35" spans="2:9" ht="16.5" customHeight="1">
      <c r="B35" s="138">
        <v>35</v>
      </c>
      <c r="C35" s="56" t="s">
        <v>125</v>
      </c>
      <c r="D35" s="7"/>
      <c r="E35" s="119">
        <f>E33/E34/1000</f>
        <v>89.92833333333333</v>
      </c>
      <c r="F35" s="119">
        <f>F33/F34/1000</f>
        <v>13084.097633136096</v>
      </c>
      <c r="G35" s="120">
        <f>G33/G34/1000</f>
        <v>796.8333333333334</v>
      </c>
      <c r="I35" s="121"/>
    </row>
    <row r="36" spans="2:7" ht="16.5" customHeight="1">
      <c r="B36" s="138">
        <v>36</v>
      </c>
      <c r="C36" s="122" t="s">
        <v>130</v>
      </c>
      <c r="D36" s="7"/>
      <c r="E36" s="123">
        <f>E35*E9*E10*52.2</f>
        <v>337986.648</v>
      </c>
      <c r="F36" s="123">
        <f>F35*F9*F10*52.2</f>
        <v>114742302.60355033</v>
      </c>
      <c r="G36" s="124">
        <f>G35*G9*G10*52.2</f>
        <v>6987909.600000001</v>
      </c>
    </row>
    <row r="37" spans="2:7" ht="16.5" customHeight="1">
      <c r="B37" s="138">
        <v>37</v>
      </c>
      <c r="C37" s="103" t="s">
        <v>135</v>
      </c>
      <c r="D37" s="29"/>
      <c r="E37" s="125">
        <v>50</v>
      </c>
      <c r="F37" s="125">
        <v>25</v>
      </c>
      <c r="G37" s="126">
        <v>50</v>
      </c>
    </row>
    <row r="38" spans="2:7" ht="16.5" customHeight="1">
      <c r="B38" s="138">
        <v>38</v>
      </c>
      <c r="C38" s="127" t="s">
        <v>136</v>
      </c>
      <c r="D38" s="29"/>
      <c r="E38" s="113">
        <f>E36*E37*E11/10000</f>
        <v>25348.998599999995</v>
      </c>
      <c r="F38" s="113">
        <f>F36*F37*F11/10000</f>
        <v>2294846.052071007</v>
      </c>
      <c r="G38" s="114">
        <f>G36*G37*G11/10000</f>
        <v>384335.028</v>
      </c>
    </row>
    <row r="39" spans="2:7" ht="16.5" customHeight="1">
      <c r="B39" s="138">
        <v>39</v>
      </c>
      <c r="C39" s="48"/>
      <c r="D39" s="49"/>
      <c r="E39" s="77"/>
      <c r="F39" s="94" t="s">
        <v>157</v>
      </c>
      <c r="G39" s="128"/>
    </row>
    <row r="40" spans="2:7" ht="15">
      <c r="B40" s="138">
        <v>40</v>
      </c>
      <c r="C40" s="103" t="s">
        <v>112</v>
      </c>
      <c r="D40" s="29"/>
      <c r="E40" s="129">
        <f>E38/E30</f>
        <v>0.7014028056112221</v>
      </c>
      <c r="F40" s="129">
        <f>F38/F30</f>
        <v>0.21538461538461542</v>
      </c>
      <c r="G40" s="130">
        <f>G38/G30</f>
        <v>0.37583333333333324</v>
      </c>
    </row>
    <row r="41" spans="2:7" ht="15">
      <c r="B41" s="138">
        <v>41</v>
      </c>
      <c r="C41" s="56" t="s">
        <v>156</v>
      </c>
      <c r="D41" s="7"/>
      <c r="E41" s="113">
        <f>E38+E31</f>
        <v>98023.38351272057</v>
      </c>
      <c r="F41" s="113">
        <f>F38+F31</f>
        <v>23959516.568973616</v>
      </c>
      <c r="G41" s="114">
        <f>G38+G31</f>
        <v>1416928.7528296185</v>
      </c>
    </row>
    <row r="42" spans="2:7" ht="15">
      <c r="B42" s="131"/>
      <c r="C42" s="132" t="s">
        <v>113</v>
      </c>
      <c r="E42" s="133"/>
      <c r="F42" s="133"/>
      <c r="G42" s="133"/>
    </row>
    <row r="43" spans="2:7" ht="15">
      <c r="B43" s="131"/>
      <c r="C43" s="134" t="s">
        <v>129</v>
      </c>
      <c r="E43" s="133"/>
      <c r="F43" s="133"/>
      <c r="G43" s="133"/>
    </row>
    <row r="44" spans="3:7" ht="15">
      <c r="C44" s="134" t="s">
        <v>114</v>
      </c>
      <c r="E44" s="133"/>
      <c r="F44" s="133"/>
      <c r="G44" s="133"/>
    </row>
    <row r="45" ht="15"/>
    <row r="46" ht="15">
      <c r="B46" s="135"/>
    </row>
    <row r="47" ht="15">
      <c r="B47" s="136"/>
    </row>
    <row r="48" ht="15">
      <c r="B48" s="134"/>
    </row>
    <row r="49" ht="15">
      <c r="B49" s="134"/>
    </row>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c r="C72" s="137"/>
    </row>
    <row r="73" ht="15"/>
    <row r="74" ht="15"/>
    <row r="75" ht="15"/>
    <row r="76" ht="15"/>
    <row r="77" ht="15"/>
    <row r="78" ht="15"/>
    <row r="79" ht="15"/>
    <row r="80" ht="15"/>
    <row r="81" ht="15"/>
    <row r="82" ht="15"/>
    <row r="83" ht="15"/>
    <row r="84" ht="15"/>
    <row r="85" ht="15"/>
    <row r="86" spans="3:8" ht="15">
      <c r="C86" s="138" t="s">
        <v>138</v>
      </c>
      <c r="D86" s="138" t="s">
        <v>139</v>
      </c>
      <c r="E86" s="138" t="s">
        <v>140</v>
      </c>
      <c r="F86" s="138" t="s">
        <v>14</v>
      </c>
      <c r="G86" s="138" t="s">
        <v>141</v>
      </c>
      <c r="H86" s="138" t="s">
        <v>142</v>
      </c>
    </row>
    <row r="87" ht="15">
      <c r="B87" s="138">
        <v>87</v>
      </c>
    </row>
    <row r="88" spans="2:7" ht="15">
      <c r="B88" s="138">
        <v>88</v>
      </c>
      <c r="E88" s="133" t="s">
        <v>14</v>
      </c>
      <c r="F88" s="139" t="s">
        <v>160</v>
      </c>
      <c r="G88" s="133" t="str">
        <f>"from "&amp;E89&amp;"F"</f>
        <v>from 40F</v>
      </c>
    </row>
    <row r="89" spans="2:7" ht="15">
      <c r="B89" s="138">
        <v>89</v>
      </c>
      <c r="D89" s="140" t="s">
        <v>16</v>
      </c>
      <c r="E89" s="141">
        <v>40</v>
      </c>
      <c r="F89" s="139">
        <f>212-E89</f>
        <v>172</v>
      </c>
      <c r="G89" s="139" t="s">
        <v>17</v>
      </c>
    </row>
    <row r="90" spans="2:7" ht="15">
      <c r="B90" s="138">
        <v>90</v>
      </c>
      <c r="D90" s="140" t="s">
        <v>148</v>
      </c>
      <c r="E90" s="142">
        <v>970</v>
      </c>
      <c r="F90" s="139">
        <f>E90</f>
        <v>970</v>
      </c>
      <c r="G90" s="139" t="s">
        <v>19</v>
      </c>
    </row>
    <row r="91" spans="2:7" ht="15">
      <c r="B91" s="138">
        <v>91</v>
      </c>
      <c r="D91" s="140" t="s">
        <v>20</v>
      </c>
      <c r="E91" s="141">
        <v>350</v>
      </c>
      <c r="F91" s="139">
        <f>(E91-212)*0.485</f>
        <v>66.92999999999999</v>
      </c>
      <c r="G91" s="139" t="str">
        <f>"to "&amp;E91&amp;"F"</f>
        <v>to 350F</v>
      </c>
    </row>
    <row r="92" spans="2:7" ht="15">
      <c r="B92" s="138">
        <v>92</v>
      </c>
      <c r="D92" s="140" t="s">
        <v>149</v>
      </c>
      <c r="E92" s="133"/>
      <c r="F92" s="139">
        <f>SUM(F89:F91)</f>
        <v>1208.93</v>
      </c>
      <c r="G92" s="133"/>
    </row>
    <row r="93" spans="2:4" ht="15">
      <c r="B93" s="138">
        <v>93</v>
      </c>
      <c r="D93" s="143" t="s">
        <v>144</v>
      </c>
    </row>
    <row r="94" spans="2:4" ht="15">
      <c r="B94" s="138">
        <v>94</v>
      </c>
      <c r="D94" s="144">
        <v>17200</v>
      </c>
    </row>
    <row r="95" spans="2:8" ht="15">
      <c r="B95" s="138">
        <v>95</v>
      </c>
      <c r="D95" s="145" t="s">
        <v>27</v>
      </c>
      <c r="E95" s="146">
        <f>E13</f>
        <v>0</v>
      </c>
      <c r="F95" s="146">
        <f>F13</f>
        <v>35</v>
      </c>
      <c r="G95" s="146">
        <f>G13</f>
        <v>47</v>
      </c>
      <c r="H95" s="147">
        <v>0</v>
      </c>
    </row>
    <row r="96" spans="2:8" ht="30">
      <c r="B96" s="138">
        <v>96</v>
      </c>
      <c r="D96" s="148" t="s">
        <v>150</v>
      </c>
      <c r="E96" s="149">
        <f>(100-E95)*$D94/100</f>
        <v>17200</v>
      </c>
      <c r="F96" s="149">
        <f>(100-F95)*$D94/100</f>
        <v>11180</v>
      </c>
      <c r="G96" s="149">
        <f>(100-G95)*$D94/100</f>
        <v>9116</v>
      </c>
      <c r="H96" s="149">
        <f>(100-H95)*$D94/100</f>
        <v>17200</v>
      </c>
    </row>
    <row r="97" spans="2:8" ht="14.25">
      <c r="B97" s="138">
        <v>97</v>
      </c>
      <c r="D97" s="148" t="s">
        <v>26</v>
      </c>
      <c r="E97" s="150">
        <f>(100-E95)*$H102</f>
        <v>1120</v>
      </c>
      <c r="F97" s="139">
        <f>(100-F95)*$H102</f>
        <v>728</v>
      </c>
      <c r="G97" s="139">
        <f>(100-G95)*$H102</f>
        <v>593.5999999999999</v>
      </c>
      <c r="H97" s="139">
        <f>(100-H95)*$H102</f>
        <v>1120</v>
      </c>
    </row>
    <row r="98" spans="2:8" ht="14.25">
      <c r="B98" s="138">
        <v>98</v>
      </c>
      <c r="C98" s="133"/>
      <c r="D98" s="151" t="s">
        <v>151</v>
      </c>
      <c r="E98" s="152">
        <f>$F92*E95/50</f>
        <v>0</v>
      </c>
      <c r="F98" s="152">
        <f>$F92*F95/50</f>
        <v>846.2510000000001</v>
      </c>
      <c r="G98" s="152">
        <f>$F92*G95/50</f>
        <v>1136.3942000000002</v>
      </c>
      <c r="H98" s="152">
        <f>$F92*H95/50</f>
        <v>0</v>
      </c>
    </row>
    <row r="99" spans="2:8" ht="14.25">
      <c r="B99" s="138">
        <v>99</v>
      </c>
      <c r="C99" s="133"/>
      <c r="D99" s="153" t="s">
        <v>152</v>
      </c>
      <c r="E99" s="154">
        <f>E97*$F92/1000</f>
        <v>1354.0016</v>
      </c>
      <c r="F99" s="154">
        <f>F97*$F92/1000</f>
        <v>880.10104</v>
      </c>
      <c r="G99" s="154">
        <f>G97*$F92/1000</f>
        <v>717.6208479999999</v>
      </c>
      <c r="H99" s="154">
        <f>H97*$F92/1000</f>
        <v>1354.0016</v>
      </c>
    </row>
    <row r="100" spans="2:8" ht="14.25">
      <c r="B100" s="155">
        <v>100</v>
      </c>
      <c r="D100" s="145" t="s">
        <v>153</v>
      </c>
      <c r="E100" s="149">
        <f>E96-E99-E98</f>
        <v>15845.9984</v>
      </c>
      <c r="F100" s="149">
        <f>F96-F99-F98</f>
        <v>9453.64796</v>
      </c>
      <c r="G100" s="149">
        <f>G96-G99-G98</f>
        <v>7261.984951999999</v>
      </c>
      <c r="H100" s="156">
        <f>H96-H99-H98</f>
        <v>15845.9984</v>
      </c>
    </row>
    <row r="101" ht="14.25">
      <c r="B101" s="155">
        <v>101</v>
      </c>
    </row>
    <row r="102" spans="2:8" ht="14.25">
      <c r="B102" s="155">
        <v>102</v>
      </c>
      <c r="F102" s="166" t="s">
        <v>161</v>
      </c>
      <c r="G102" s="190"/>
      <c r="H102" s="139">
        <v>11.2</v>
      </c>
    </row>
    <row r="106" ht="14.25">
      <c r="D106" s="157"/>
    </row>
  </sheetData>
  <sheetProtection/>
  <mergeCells count="5">
    <mergeCell ref="C1:G1"/>
    <mergeCell ref="C2:G2"/>
    <mergeCell ref="C3:G3"/>
    <mergeCell ref="C4:G4"/>
    <mergeCell ref="C5:G5"/>
  </mergeCells>
  <hyperlinks>
    <hyperlink ref="C43" r:id="rId1" display="http://www.fpl.fs.fed.us/documnts/fplgtr/fpl_gtr157.pdf"/>
    <hyperlink ref="C44" r:id="rId2" display="http://www.fpl.fs.fed.us/documnts/fplgtr/fpl_gtr157/biomax_10.xls  "/>
  </hyperlinks>
  <printOptions/>
  <pageMargins left="0.25" right="0.25" top="0.75" bottom="0.75" header="0.3" footer="0.3"/>
  <pageSetup horizontalDpi="600" verticalDpi="600" orientation="landscape" paperSize="17"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Forest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T Knaebe</dc:creator>
  <cp:keywords/>
  <dc:description/>
  <cp:lastModifiedBy>USDA Forest Service</cp:lastModifiedBy>
  <cp:lastPrinted>2014-08-11T19:32:17Z</cp:lastPrinted>
  <dcterms:created xsi:type="dcterms:W3CDTF">2006-03-28T16:15:53Z</dcterms:created>
  <dcterms:modified xsi:type="dcterms:W3CDTF">2014-10-01T17:11:39Z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